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ACITACION C5\Documents\2019\Unidad Transparencia\Fracciones RRHH 2019\anual 2018 porcorregir\"/>
    </mc:Choice>
  </mc:AlternateContent>
  <xr:revisionPtr revIDLastSave="0" documentId="13_ncr:1_{27BC52B6-1BD8-4DE1-B3AF-C148E59BC5AA}" xr6:coauthVersionLast="45" xr6:coauthVersionMax="45" xr10:uidLastSave="{00000000-0000-0000-0000-000000000000}"/>
  <bookViews>
    <workbookView xWindow="-120" yWindow="-120" windowWidth="29040" windowHeight="15840" tabRatio="999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6" i="1" l="1"/>
  <c r="M136" i="1"/>
  <c r="D132" i="15"/>
  <c r="C132" i="15"/>
  <c r="D259" i="9"/>
  <c r="C259" i="9"/>
  <c r="D513" i="8"/>
  <c r="C513" i="8"/>
  <c r="D1037" i="6"/>
  <c r="C1037" i="6"/>
  <c r="D244" i="9" l="1"/>
  <c r="C244" i="9"/>
  <c r="D242" i="9"/>
  <c r="C242" i="9"/>
  <c r="D234" i="9" l="1"/>
  <c r="C234" i="9"/>
  <c r="D232" i="9"/>
  <c r="C232" i="9"/>
  <c r="D230" i="9"/>
  <c r="C230" i="9"/>
  <c r="D228" i="9"/>
  <c r="C228" i="9"/>
  <c r="D226" i="9"/>
  <c r="C226" i="9"/>
  <c r="D224" i="9"/>
  <c r="C224" i="9"/>
  <c r="D222" i="9"/>
  <c r="C222" i="9"/>
  <c r="D218" i="9"/>
  <c r="C218" i="9"/>
  <c r="D216" i="9"/>
  <c r="C216" i="9"/>
  <c r="D214" i="9"/>
  <c r="C214" i="9"/>
  <c r="D212" i="9"/>
  <c r="C212" i="9"/>
  <c r="D208" i="9"/>
  <c r="C208" i="9"/>
  <c r="D206" i="9"/>
  <c r="C206" i="9"/>
  <c r="D204" i="9"/>
  <c r="C204" i="9"/>
  <c r="D202" i="9"/>
  <c r="C202" i="9"/>
  <c r="D200" i="9"/>
  <c r="C200" i="9"/>
  <c r="D198" i="9"/>
  <c r="C198" i="9"/>
  <c r="D196" i="9"/>
  <c r="C196" i="9"/>
  <c r="D194" i="9"/>
  <c r="C194" i="9"/>
  <c r="D192" i="9"/>
  <c r="C192" i="9"/>
  <c r="D190" i="9"/>
  <c r="C190" i="9"/>
  <c r="D188" i="9"/>
  <c r="C188" i="9"/>
  <c r="D186" i="9"/>
  <c r="C186" i="9"/>
  <c r="D184" i="9"/>
  <c r="C184" i="9"/>
  <c r="D180" i="9"/>
  <c r="C180" i="9"/>
  <c r="D178" i="9"/>
  <c r="C178" i="9"/>
  <c r="D176" i="9"/>
  <c r="C176" i="9"/>
  <c r="D174" i="9"/>
  <c r="C174" i="9"/>
  <c r="D172" i="9"/>
  <c r="C172" i="9"/>
  <c r="D168" i="9"/>
  <c r="C168" i="9"/>
  <c r="D166" i="9"/>
  <c r="C166" i="9"/>
  <c r="D164" i="9"/>
  <c r="C164" i="9"/>
  <c r="D162" i="9"/>
  <c r="C162" i="9"/>
  <c r="D160" i="9"/>
  <c r="C160" i="9"/>
  <c r="D156" i="9"/>
  <c r="C156" i="9"/>
  <c r="D154" i="9"/>
  <c r="C154" i="9"/>
  <c r="D152" i="9"/>
  <c r="C152" i="9"/>
  <c r="D150" i="9"/>
  <c r="C150" i="9"/>
  <c r="D148" i="9"/>
  <c r="C148" i="9"/>
  <c r="D146" i="9"/>
  <c r="C146" i="9"/>
  <c r="D144" i="9"/>
  <c r="C144" i="9"/>
  <c r="D142" i="9"/>
  <c r="C142" i="9"/>
  <c r="D140" i="9"/>
  <c r="C140" i="9"/>
  <c r="D138" i="9"/>
  <c r="C138" i="9"/>
  <c r="D1004" i="6"/>
  <c r="C1004" i="6"/>
  <c r="D1003" i="6"/>
  <c r="C1003" i="6"/>
  <c r="C1002" i="6"/>
  <c r="C1000" i="6"/>
  <c r="C999" i="6"/>
  <c r="C998" i="6"/>
  <c r="C997" i="6"/>
  <c r="D996" i="6"/>
  <c r="C996" i="6"/>
  <c r="D995" i="6"/>
  <c r="C995" i="6"/>
  <c r="C994" i="6"/>
  <c r="C992" i="6"/>
  <c r="C991" i="6"/>
  <c r="C990" i="6"/>
  <c r="C989" i="6"/>
  <c r="D988" i="6"/>
  <c r="C988" i="6"/>
  <c r="D980" i="6"/>
  <c r="C980" i="6"/>
  <c r="D979" i="6"/>
  <c r="C979" i="6"/>
  <c r="C978" i="6"/>
  <c r="D977" i="6"/>
  <c r="C977" i="6"/>
  <c r="C976" i="6"/>
  <c r="C975" i="6"/>
  <c r="C974" i="6"/>
  <c r="C973" i="6"/>
  <c r="D972" i="6"/>
  <c r="C972" i="6"/>
  <c r="D971" i="6"/>
  <c r="C971" i="6"/>
  <c r="C970" i="6"/>
  <c r="C968" i="6"/>
  <c r="C967" i="6"/>
  <c r="C966" i="6"/>
  <c r="C965" i="6"/>
  <c r="D964" i="6"/>
  <c r="C964" i="6"/>
  <c r="D963" i="6"/>
  <c r="C963" i="6"/>
  <c r="C962" i="6"/>
  <c r="C960" i="6"/>
  <c r="C959" i="6"/>
  <c r="C958" i="6"/>
  <c r="C957" i="6"/>
  <c r="D956" i="6"/>
  <c r="C956" i="6"/>
  <c r="D955" i="6"/>
  <c r="C955" i="6"/>
  <c r="C954" i="6"/>
  <c r="C952" i="6"/>
  <c r="C951" i="6"/>
  <c r="C950" i="6"/>
  <c r="C949" i="6"/>
  <c r="D948" i="6"/>
  <c r="C948" i="6"/>
  <c r="D940" i="6"/>
  <c r="C940" i="6"/>
  <c r="D939" i="6"/>
  <c r="C939" i="6"/>
  <c r="C938" i="6"/>
  <c r="D937" i="6"/>
  <c r="C937" i="6"/>
  <c r="C936" i="6"/>
  <c r="C935" i="6"/>
  <c r="C934" i="6"/>
  <c r="C933" i="6"/>
  <c r="D932" i="6"/>
  <c r="C932" i="6"/>
  <c r="D931" i="6"/>
  <c r="C931" i="6"/>
  <c r="C930" i="6"/>
  <c r="D929" i="6"/>
  <c r="C929" i="6"/>
  <c r="C928" i="6"/>
  <c r="C927" i="6"/>
  <c r="C926" i="6"/>
  <c r="C925" i="6"/>
  <c r="D924" i="6"/>
  <c r="C924" i="6"/>
  <c r="D923" i="6"/>
  <c r="C923" i="6"/>
  <c r="C922" i="6"/>
  <c r="D921" i="6"/>
  <c r="C921" i="6"/>
  <c r="C920" i="6"/>
  <c r="C919" i="6"/>
  <c r="C918" i="6"/>
  <c r="C917" i="6"/>
  <c r="D916" i="6"/>
  <c r="C916" i="6"/>
  <c r="D915" i="6"/>
  <c r="C915" i="6"/>
  <c r="C914" i="6"/>
  <c r="D913" i="6"/>
  <c r="C913" i="6"/>
  <c r="C912" i="6"/>
  <c r="C911" i="6"/>
  <c r="C910" i="6"/>
  <c r="C909" i="6"/>
  <c r="D908" i="6"/>
  <c r="C908" i="6"/>
  <c r="D900" i="6"/>
  <c r="C900" i="6"/>
  <c r="D899" i="6"/>
  <c r="C899" i="6"/>
  <c r="C898" i="6"/>
  <c r="C896" i="6"/>
  <c r="C895" i="6"/>
  <c r="C894" i="6"/>
  <c r="C893" i="6"/>
  <c r="D892" i="6"/>
  <c r="C892" i="6"/>
  <c r="D883" i="6"/>
  <c r="C883" i="6"/>
  <c r="C882" i="6"/>
  <c r="D881" i="6"/>
  <c r="C881" i="6"/>
  <c r="C880" i="6"/>
  <c r="C879" i="6"/>
  <c r="C878" i="6"/>
  <c r="C877" i="6"/>
  <c r="D876" i="6"/>
  <c r="C876" i="6"/>
  <c r="D875" i="6"/>
  <c r="C875" i="6"/>
  <c r="C874" i="6"/>
  <c r="C872" i="6"/>
  <c r="C871" i="6"/>
  <c r="C870" i="6"/>
  <c r="C869" i="6"/>
  <c r="D868" i="6"/>
  <c r="C868" i="6"/>
  <c r="D867" i="6"/>
  <c r="C867" i="6"/>
  <c r="C866" i="6"/>
  <c r="C864" i="6"/>
  <c r="C863" i="6"/>
  <c r="C862" i="6"/>
  <c r="C861" i="6"/>
  <c r="D860" i="6"/>
  <c r="C860" i="6"/>
  <c r="D859" i="6"/>
  <c r="C859" i="6"/>
  <c r="C858" i="6"/>
  <c r="C856" i="6"/>
  <c r="C855" i="6"/>
  <c r="C854" i="6"/>
  <c r="C853" i="6"/>
  <c r="D852" i="6"/>
  <c r="C852" i="6"/>
  <c r="D843" i="6"/>
  <c r="C843" i="6"/>
  <c r="C842" i="6"/>
  <c r="C840" i="6"/>
  <c r="C839" i="6"/>
  <c r="C838" i="6"/>
  <c r="C837" i="6"/>
  <c r="D836" i="6"/>
  <c r="C836" i="6"/>
  <c r="D835" i="6"/>
  <c r="C835" i="6"/>
  <c r="C834" i="6"/>
  <c r="D833" i="6"/>
  <c r="C833" i="6"/>
  <c r="C832" i="6"/>
  <c r="C831" i="6"/>
  <c r="C830" i="6"/>
  <c r="C829" i="6"/>
  <c r="D828" i="6"/>
  <c r="C828" i="6"/>
  <c r="D827" i="6"/>
  <c r="C827" i="6"/>
  <c r="C826" i="6"/>
  <c r="D825" i="6"/>
  <c r="C825" i="6"/>
  <c r="C824" i="6"/>
  <c r="C823" i="6"/>
  <c r="C822" i="6"/>
  <c r="C821" i="6"/>
  <c r="D820" i="6"/>
  <c r="C820" i="6"/>
  <c r="D819" i="6"/>
  <c r="C819" i="6"/>
  <c r="C818" i="6"/>
  <c r="C816" i="6"/>
  <c r="C815" i="6"/>
  <c r="C814" i="6"/>
  <c r="C813" i="6"/>
  <c r="D812" i="6"/>
  <c r="C812" i="6"/>
  <c r="D811" i="6"/>
  <c r="C811" i="6"/>
  <c r="C810" i="6"/>
  <c r="C808" i="6"/>
  <c r="C807" i="6"/>
  <c r="C806" i="6"/>
  <c r="C805" i="6"/>
  <c r="D804" i="6"/>
  <c r="C804" i="6"/>
  <c r="D803" i="6"/>
  <c r="C803" i="6"/>
  <c r="C802" i="6"/>
  <c r="C800" i="6"/>
  <c r="C799" i="6"/>
  <c r="C798" i="6"/>
  <c r="C797" i="6"/>
  <c r="D796" i="6"/>
  <c r="C796" i="6"/>
  <c r="D795" i="6"/>
  <c r="C795" i="6"/>
  <c r="C794" i="6"/>
  <c r="C792" i="6"/>
  <c r="C791" i="6"/>
  <c r="C790" i="6"/>
  <c r="C789" i="6"/>
  <c r="D788" i="6"/>
  <c r="C788" i="6"/>
  <c r="D787" i="6"/>
  <c r="C787" i="6"/>
  <c r="C786" i="6"/>
  <c r="C784" i="6"/>
  <c r="C783" i="6"/>
  <c r="C782" i="6"/>
  <c r="C781" i="6"/>
  <c r="D780" i="6"/>
  <c r="C780" i="6"/>
  <c r="D779" i="6"/>
  <c r="C779" i="6"/>
  <c r="C778" i="6"/>
  <c r="C776" i="6"/>
  <c r="C775" i="6"/>
  <c r="C774" i="6"/>
  <c r="C773" i="6"/>
  <c r="D772" i="6"/>
  <c r="C772" i="6"/>
  <c r="D764" i="6"/>
  <c r="C764" i="6"/>
  <c r="D763" i="6"/>
  <c r="C763" i="6"/>
  <c r="C762" i="6"/>
  <c r="D761" i="6"/>
  <c r="C761" i="6"/>
  <c r="C760" i="6"/>
  <c r="C759" i="6"/>
  <c r="C758" i="6"/>
  <c r="C757" i="6"/>
  <c r="D756" i="6"/>
  <c r="C756" i="6"/>
  <c r="D755" i="6"/>
  <c r="C755" i="6"/>
  <c r="C754" i="6"/>
  <c r="C752" i="6"/>
  <c r="C751" i="6"/>
  <c r="C750" i="6"/>
  <c r="C749" i="6"/>
  <c r="D748" i="6"/>
  <c r="C748" i="6"/>
  <c r="D740" i="6"/>
  <c r="C740" i="6"/>
  <c r="D731" i="6"/>
  <c r="C731" i="6"/>
  <c r="C730" i="6"/>
  <c r="D729" i="6"/>
  <c r="C729" i="6"/>
  <c r="C728" i="6"/>
  <c r="C727" i="6"/>
  <c r="C726" i="6"/>
  <c r="C725" i="6"/>
  <c r="D724" i="6"/>
  <c r="C724" i="6"/>
  <c r="D723" i="6"/>
  <c r="C723" i="6"/>
  <c r="C722" i="6"/>
  <c r="D721" i="6"/>
  <c r="C721" i="6"/>
  <c r="C720" i="6"/>
  <c r="C719" i="6"/>
  <c r="C718" i="6"/>
  <c r="C717" i="6"/>
  <c r="D716" i="6"/>
  <c r="C716" i="6"/>
  <c r="D715" i="6"/>
  <c r="C715" i="6"/>
  <c r="C714" i="6"/>
  <c r="D713" i="6"/>
  <c r="C713" i="6"/>
  <c r="C712" i="6"/>
  <c r="C711" i="6"/>
  <c r="C710" i="6"/>
  <c r="C709" i="6"/>
  <c r="D708" i="6"/>
  <c r="C708" i="6"/>
  <c r="D707" i="6"/>
  <c r="C707" i="6"/>
  <c r="C706" i="6"/>
  <c r="C704" i="6"/>
  <c r="C703" i="6"/>
  <c r="C702" i="6"/>
  <c r="C701" i="6"/>
  <c r="D700" i="6"/>
  <c r="C700" i="6"/>
  <c r="D692" i="6"/>
  <c r="C692" i="6"/>
  <c r="D682" i="6"/>
  <c r="C682" i="6"/>
  <c r="C681" i="6"/>
  <c r="D680" i="6"/>
  <c r="C680" i="6"/>
  <c r="C679" i="6"/>
  <c r="C678" i="6"/>
  <c r="C677" i="6"/>
  <c r="C676" i="6"/>
  <c r="D675" i="6"/>
  <c r="C675" i="6"/>
  <c r="D673" i="6"/>
  <c r="C673" i="6"/>
  <c r="C672" i="6"/>
  <c r="D671" i="6"/>
  <c r="C671" i="6"/>
  <c r="C670" i="6"/>
  <c r="C669" i="6"/>
  <c r="C668" i="6"/>
  <c r="C667" i="6"/>
  <c r="D666" i="6"/>
  <c r="C666" i="6"/>
  <c r="D664" i="6"/>
  <c r="C664" i="6"/>
  <c r="C663" i="6"/>
  <c r="C661" i="6"/>
  <c r="C660" i="6"/>
  <c r="C659" i="6"/>
  <c r="C658" i="6"/>
  <c r="D657" i="6"/>
  <c r="C657" i="6"/>
  <c r="D655" i="6"/>
  <c r="C655" i="6"/>
  <c r="C654" i="6"/>
  <c r="D653" i="6"/>
  <c r="C653" i="6"/>
  <c r="C652" i="6"/>
  <c r="C651" i="6"/>
  <c r="C650" i="6"/>
  <c r="C649" i="6"/>
  <c r="D648" i="6"/>
  <c r="C648" i="6"/>
  <c r="D646" i="6"/>
  <c r="C646" i="6"/>
  <c r="C645" i="6"/>
  <c r="C643" i="6"/>
  <c r="C642" i="6"/>
  <c r="C641" i="6"/>
  <c r="C640" i="6"/>
  <c r="D639" i="6"/>
  <c r="C639" i="6"/>
  <c r="D628" i="6"/>
  <c r="C628" i="6"/>
  <c r="C627" i="6"/>
  <c r="D626" i="6"/>
  <c r="C626" i="6"/>
  <c r="C625" i="6"/>
  <c r="C624" i="6"/>
  <c r="C623" i="6"/>
  <c r="C622" i="6"/>
  <c r="D621" i="6"/>
  <c r="C621" i="6"/>
  <c r="D619" i="6"/>
  <c r="C619" i="6"/>
  <c r="C618" i="6"/>
  <c r="C616" i="6"/>
  <c r="C615" i="6"/>
  <c r="C614" i="6"/>
  <c r="C613" i="6"/>
  <c r="D612" i="6"/>
  <c r="C612" i="6"/>
  <c r="D610" i="6"/>
  <c r="C610" i="6"/>
  <c r="C609" i="6"/>
  <c r="C607" i="6"/>
  <c r="C606" i="6"/>
  <c r="C605" i="6"/>
  <c r="C604" i="6"/>
  <c r="D603" i="6"/>
  <c r="C603" i="6"/>
  <c r="D601" i="6"/>
  <c r="C601" i="6"/>
  <c r="C600" i="6"/>
  <c r="C598" i="6"/>
  <c r="C597" i="6"/>
  <c r="C596" i="6"/>
  <c r="C595" i="6"/>
  <c r="D594" i="6"/>
  <c r="C594" i="6"/>
  <c r="D592" i="6"/>
  <c r="C592" i="6"/>
  <c r="C591" i="6"/>
  <c r="D590" i="6"/>
  <c r="C590" i="6"/>
  <c r="C589" i="6"/>
  <c r="C588" i="6"/>
  <c r="C587" i="6"/>
  <c r="C586" i="6"/>
  <c r="D585" i="6"/>
  <c r="C585" i="6"/>
  <c r="D583" i="6"/>
  <c r="C583" i="6"/>
  <c r="C582" i="6"/>
  <c r="D581" i="6"/>
  <c r="C581" i="6"/>
  <c r="C580" i="6"/>
  <c r="C579" i="6"/>
  <c r="C578" i="6"/>
  <c r="C577" i="6"/>
  <c r="D576" i="6"/>
  <c r="C576" i="6"/>
  <c r="D574" i="6"/>
  <c r="C574" i="6"/>
  <c r="C573" i="6"/>
  <c r="D572" i="6"/>
  <c r="C572" i="6"/>
  <c r="C571" i="6"/>
  <c r="C570" i="6"/>
  <c r="C569" i="6"/>
  <c r="C568" i="6"/>
  <c r="D567" i="6"/>
  <c r="C567" i="6"/>
  <c r="D565" i="6"/>
  <c r="C565" i="6"/>
  <c r="C564" i="6"/>
  <c r="D563" i="6"/>
  <c r="C563" i="6"/>
  <c r="C562" i="6"/>
  <c r="C561" i="6"/>
  <c r="C560" i="6"/>
  <c r="C559" i="6"/>
  <c r="D558" i="6"/>
  <c r="C558" i="6"/>
  <c r="D556" i="6"/>
  <c r="C556" i="6"/>
  <c r="C555" i="6"/>
  <c r="D554" i="6"/>
  <c r="C554" i="6"/>
  <c r="C553" i="6"/>
  <c r="C552" i="6"/>
  <c r="C551" i="6"/>
  <c r="C550" i="6"/>
  <c r="D549" i="6"/>
  <c r="C549" i="6"/>
  <c r="D540" i="6"/>
  <c r="C540" i="6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 l="1"/>
  <c r="M117" i="1"/>
  <c r="O115" i="1"/>
  <c r="M115" i="1"/>
  <c r="O114" i="1"/>
  <c r="M114" i="1"/>
  <c r="O113" i="1"/>
  <c r="M113" i="1"/>
  <c r="O112" i="1"/>
  <c r="M112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6" i="1"/>
  <c r="M96" i="1"/>
  <c r="O95" i="1"/>
  <c r="M95" i="1"/>
  <c r="O94" i="1"/>
  <c r="M94" i="1"/>
  <c r="O93" i="1"/>
  <c r="M93" i="1"/>
  <c r="O92" i="1"/>
  <c r="M92" i="1"/>
  <c r="O90" i="1"/>
  <c r="M90" i="1"/>
  <c r="O89" i="1"/>
  <c r="M89" i="1"/>
  <c r="O88" i="1"/>
  <c r="M88" i="1"/>
  <c r="O87" i="1"/>
  <c r="M87" i="1"/>
  <c r="O86" i="1"/>
  <c r="M86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 l="1"/>
  <c r="D475" i="6" l="1"/>
  <c r="C475" i="6"/>
  <c r="C474" i="6"/>
  <c r="C472" i="6"/>
  <c r="C471" i="6"/>
  <c r="C470" i="6"/>
  <c r="C469" i="6"/>
  <c r="D468" i="6"/>
  <c r="C468" i="6"/>
  <c r="D460" i="6"/>
  <c r="C460" i="6"/>
  <c r="D459" i="6"/>
  <c r="C459" i="6"/>
  <c r="C458" i="6"/>
  <c r="D457" i="6"/>
  <c r="C457" i="6"/>
  <c r="C456" i="6"/>
  <c r="C455" i="6"/>
  <c r="C454" i="6"/>
  <c r="C453" i="6"/>
  <c r="D452" i="6"/>
  <c r="C452" i="6"/>
  <c r="D451" i="6"/>
  <c r="C451" i="6"/>
  <c r="C450" i="6"/>
  <c r="D449" i="6"/>
  <c r="C449" i="6"/>
  <c r="C448" i="6"/>
  <c r="C447" i="6"/>
  <c r="C446" i="6"/>
  <c r="C445" i="6"/>
  <c r="D444" i="6"/>
  <c r="C444" i="6"/>
  <c r="D420" i="6"/>
  <c r="C420" i="6"/>
  <c r="D419" i="6"/>
  <c r="C419" i="6"/>
  <c r="C418" i="6"/>
  <c r="D417" i="6"/>
  <c r="C417" i="6"/>
  <c r="C416" i="6"/>
  <c r="C415" i="6"/>
  <c r="C414" i="6"/>
  <c r="C413" i="6"/>
  <c r="D412" i="6"/>
  <c r="C412" i="6"/>
  <c r="D411" i="6"/>
  <c r="C411" i="6"/>
  <c r="C410" i="6"/>
  <c r="D409" i="6"/>
  <c r="C409" i="6"/>
  <c r="C408" i="6"/>
  <c r="C407" i="6"/>
  <c r="C406" i="6"/>
  <c r="C405" i="6"/>
  <c r="D404" i="6"/>
  <c r="C404" i="6"/>
  <c r="D396" i="6"/>
  <c r="C396" i="6"/>
  <c r="D388" i="6"/>
  <c r="C388" i="6"/>
  <c r="D379" i="6"/>
  <c r="C379" i="6"/>
  <c r="C378" i="6"/>
  <c r="C376" i="6"/>
  <c r="C375" i="6"/>
  <c r="C374" i="6"/>
  <c r="C373" i="6"/>
  <c r="D372" i="6"/>
  <c r="C372" i="6"/>
  <c r="D371" i="6"/>
  <c r="C371" i="6"/>
  <c r="C370" i="6"/>
  <c r="C368" i="6"/>
  <c r="C367" i="6"/>
  <c r="C366" i="6"/>
  <c r="C365" i="6"/>
  <c r="D364" i="6"/>
  <c r="C364" i="6"/>
  <c r="D355" i="6"/>
  <c r="C355" i="6"/>
  <c r="C354" i="6"/>
  <c r="D353" i="6"/>
  <c r="C353" i="6"/>
  <c r="C352" i="6"/>
  <c r="C351" i="6"/>
  <c r="C350" i="6"/>
  <c r="C349" i="6"/>
  <c r="D348" i="6"/>
  <c r="C348" i="6"/>
  <c r="D347" i="6"/>
  <c r="C347" i="6"/>
  <c r="C346" i="6"/>
  <c r="C344" i="6"/>
  <c r="C343" i="6"/>
  <c r="C342" i="6"/>
  <c r="C341" i="6"/>
  <c r="D340" i="6"/>
  <c r="C340" i="6"/>
  <c r="D339" i="6"/>
  <c r="C339" i="6"/>
  <c r="C338" i="6"/>
  <c r="C336" i="6"/>
  <c r="C335" i="6"/>
  <c r="C334" i="6"/>
  <c r="C333" i="6"/>
  <c r="D332" i="6"/>
  <c r="C332" i="6"/>
  <c r="D331" i="6"/>
  <c r="C331" i="6"/>
  <c r="C330" i="6"/>
  <c r="C328" i="6"/>
  <c r="C327" i="6"/>
  <c r="C326" i="6"/>
  <c r="C325" i="6"/>
  <c r="D324" i="6"/>
  <c r="C324" i="6"/>
  <c r="D323" i="6"/>
  <c r="C323" i="6"/>
  <c r="C322" i="6"/>
  <c r="C320" i="6"/>
  <c r="C319" i="6"/>
  <c r="C318" i="6"/>
  <c r="C317" i="6"/>
  <c r="D316" i="6"/>
  <c r="C316" i="6"/>
  <c r="D315" i="6"/>
  <c r="C315" i="6"/>
  <c r="C314" i="6"/>
  <c r="C312" i="6"/>
  <c r="C311" i="6"/>
  <c r="C310" i="6"/>
  <c r="C309" i="6"/>
  <c r="D308" i="6"/>
  <c r="C308" i="6"/>
  <c r="D307" i="6"/>
  <c r="C307" i="6"/>
  <c r="C306" i="6"/>
  <c r="D305" i="6"/>
  <c r="C305" i="6"/>
  <c r="C304" i="6"/>
  <c r="C303" i="6"/>
  <c r="C302" i="6"/>
  <c r="C301" i="6"/>
  <c r="D300" i="6"/>
  <c r="C300" i="6"/>
  <c r="D299" i="6"/>
  <c r="C299" i="6"/>
  <c r="C298" i="6"/>
  <c r="D297" i="6"/>
  <c r="C297" i="6"/>
  <c r="C296" i="6"/>
  <c r="C295" i="6"/>
  <c r="C294" i="6"/>
  <c r="C293" i="6"/>
  <c r="D292" i="6"/>
  <c r="C292" i="6"/>
  <c r="D291" i="6" l="1"/>
  <c r="C291" i="6"/>
  <c r="C290" i="6"/>
  <c r="C288" i="6"/>
  <c r="C287" i="6"/>
  <c r="C286" i="6"/>
  <c r="C285" i="6"/>
  <c r="D284" i="6"/>
  <c r="C284" i="6"/>
  <c r="D283" i="6"/>
  <c r="C283" i="6"/>
  <c r="C282" i="6"/>
  <c r="C280" i="6"/>
  <c r="C279" i="6"/>
  <c r="C278" i="6"/>
  <c r="C277" i="6"/>
  <c r="D276" i="6"/>
  <c r="C276" i="6"/>
  <c r="D275" i="6"/>
  <c r="C275" i="6"/>
  <c r="C274" i="6"/>
  <c r="C272" i="6"/>
  <c r="C271" i="6"/>
  <c r="C270" i="6"/>
  <c r="C269" i="6"/>
  <c r="D268" i="6"/>
  <c r="C268" i="6"/>
  <c r="D259" i="6"/>
  <c r="C259" i="6"/>
  <c r="C258" i="6"/>
  <c r="C256" i="6"/>
  <c r="C255" i="6"/>
  <c r="C254" i="6"/>
  <c r="C253" i="6"/>
  <c r="D252" i="6"/>
  <c r="C252" i="6"/>
  <c r="D243" i="6"/>
  <c r="C243" i="6"/>
  <c r="C242" i="6"/>
  <c r="C240" i="6"/>
  <c r="C239" i="6"/>
  <c r="C238" i="6"/>
  <c r="C237" i="6"/>
  <c r="D236" i="6"/>
  <c r="C236" i="6"/>
  <c r="D235" i="6"/>
  <c r="C235" i="6"/>
  <c r="C234" i="6"/>
  <c r="C232" i="6"/>
  <c r="C231" i="6"/>
  <c r="C230" i="6"/>
  <c r="C229" i="6"/>
  <c r="D228" i="6"/>
  <c r="C228" i="6"/>
  <c r="D219" i="6"/>
  <c r="C219" i="6"/>
  <c r="C218" i="6"/>
  <c r="D217" i="6"/>
  <c r="C217" i="6"/>
  <c r="C216" i="6"/>
  <c r="C215" i="6"/>
  <c r="C214" i="6"/>
  <c r="C213" i="6"/>
  <c r="D212" i="6"/>
  <c r="C212" i="6"/>
  <c r="D211" i="6" l="1"/>
  <c r="C211" i="6"/>
  <c r="C210" i="6"/>
  <c r="D209" i="6"/>
  <c r="C209" i="6"/>
  <c r="C208" i="6"/>
  <c r="C207" i="6"/>
  <c r="C206" i="6"/>
  <c r="C205" i="6"/>
  <c r="D204" i="6"/>
  <c r="C204" i="6"/>
  <c r="D203" i="6"/>
  <c r="C203" i="6"/>
  <c r="C202" i="6"/>
  <c r="C200" i="6"/>
  <c r="C199" i="6"/>
  <c r="C198" i="6"/>
  <c r="C197" i="6"/>
  <c r="D196" i="6"/>
  <c r="C196" i="6"/>
  <c r="D188" i="6"/>
  <c r="C188" i="6"/>
  <c r="D187" i="6"/>
  <c r="C187" i="6"/>
  <c r="C186" i="6"/>
  <c r="D185" i="6"/>
  <c r="C185" i="6"/>
  <c r="C184" i="6"/>
  <c r="C183" i="6"/>
  <c r="C182" i="6"/>
  <c r="C181" i="6"/>
  <c r="D180" i="6"/>
  <c r="C180" i="6"/>
  <c r="D179" i="6"/>
  <c r="C179" i="6"/>
  <c r="C178" i="6"/>
  <c r="D177" i="6"/>
  <c r="C177" i="6"/>
  <c r="C176" i="6"/>
  <c r="C175" i="6"/>
  <c r="C174" i="6"/>
  <c r="C173" i="6"/>
  <c r="D172" i="6"/>
  <c r="C172" i="6"/>
  <c r="D171" i="6" l="1"/>
  <c r="C171" i="6"/>
  <c r="C170" i="6"/>
  <c r="D169" i="6"/>
  <c r="C169" i="6"/>
  <c r="C168" i="6"/>
  <c r="C167" i="6"/>
  <c r="C166" i="6"/>
  <c r="C165" i="6"/>
  <c r="D164" i="6"/>
  <c r="C164" i="6"/>
  <c r="D163" i="6"/>
  <c r="C163" i="6"/>
  <c r="C162" i="6"/>
  <c r="D161" i="6"/>
  <c r="C161" i="6"/>
  <c r="C160" i="6"/>
  <c r="C159" i="6"/>
  <c r="C158" i="6"/>
  <c r="C157" i="6"/>
  <c r="D156" i="6"/>
  <c r="C156" i="6"/>
  <c r="D155" i="6"/>
  <c r="C155" i="6"/>
  <c r="C154" i="6"/>
  <c r="C152" i="6"/>
  <c r="C151" i="6"/>
  <c r="C150" i="6"/>
  <c r="C149" i="6"/>
  <c r="D148" i="6"/>
  <c r="C148" i="6"/>
  <c r="D140" i="6"/>
  <c r="C140" i="6"/>
  <c r="D131" i="6"/>
  <c r="C131" i="6"/>
  <c r="C130" i="6"/>
  <c r="D129" i="6"/>
  <c r="C129" i="6"/>
  <c r="C128" i="6"/>
  <c r="C127" i="6"/>
  <c r="C126" i="6"/>
  <c r="C125" i="6"/>
  <c r="D124" i="6"/>
  <c r="C124" i="6"/>
  <c r="D123" i="6"/>
  <c r="C123" i="6"/>
  <c r="C122" i="6"/>
  <c r="D121" i="6"/>
  <c r="C121" i="6"/>
  <c r="C120" i="6"/>
  <c r="C119" i="6"/>
  <c r="C118" i="6"/>
  <c r="C117" i="6"/>
  <c r="D116" i="6"/>
  <c r="C116" i="6"/>
  <c r="D115" i="6"/>
  <c r="C115" i="6"/>
  <c r="C114" i="6"/>
  <c r="C112" i="6"/>
  <c r="C111" i="6"/>
  <c r="C110" i="6"/>
  <c r="C109" i="6"/>
  <c r="D108" i="6"/>
  <c r="C108" i="6"/>
  <c r="D107" i="6"/>
  <c r="C107" i="6"/>
  <c r="C106" i="6"/>
  <c r="D105" i="6"/>
  <c r="C105" i="6"/>
  <c r="C104" i="6"/>
  <c r="C103" i="6"/>
  <c r="C102" i="6"/>
  <c r="C101" i="6"/>
  <c r="D100" i="6"/>
  <c r="C100" i="6"/>
  <c r="D99" i="6"/>
  <c r="C99" i="6"/>
  <c r="C98" i="6"/>
  <c r="C96" i="6"/>
  <c r="C95" i="6"/>
  <c r="C94" i="6"/>
  <c r="C93" i="6"/>
  <c r="D92" i="6"/>
  <c r="C92" i="6"/>
  <c r="D91" i="6"/>
  <c r="C91" i="6"/>
  <c r="C90" i="6"/>
  <c r="D89" i="6"/>
  <c r="C89" i="6"/>
  <c r="C88" i="6"/>
  <c r="C87" i="6"/>
  <c r="C86" i="6"/>
  <c r="C85" i="6"/>
  <c r="D84" i="6"/>
  <c r="C84" i="6"/>
  <c r="D83" i="6"/>
  <c r="C83" i="6"/>
  <c r="C82" i="6"/>
  <c r="D81" i="6"/>
  <c r="C81" i="6"/>
  <c r="C80" i="6"/>
  <c r="C79" i="6"/>
  <c r="C78" i="6"/>
  <c r="C77" i="6"/>
  <c r="D76" i="6"/>
  <c r="C76" i="6"/>
  <c r="D75" i="6"/>
  <c r="C75" i="6"/>
  <c r="C74" i="6"/>
  <c r="C72" i="6"/>
  <c r="C71" i="6"/>
  <c r="C70" i="6"/>
  <c r="C69" i="6"/>
  <c r="D68" i="6"/>
  <c r="C68" i="6"/>
  <c r="D67" i="6"/>
  <c r="C67" i="6"/>
  <c r="C66" i="6"/>
  <c r="C64" i="6"/>
  <c r="C63" i="6"/>
  <c r="C62" i="6"/>
  <c r="C61" i="6"/>
  <c r="D60" i="6"/>
  <c r="C60" i="6"/>
  <c r="D59" i="6"/>
  <c r="C59" i="6"/>
  <c r="C58" i="6"/>
  <c r="C56" i="6"/>
  <c r="C55" i="6"/>
  <c r="C54" i="6"/>
  <c r="C53" i="6"/>
  <c r="D52" i="6"/>
  <c r="C52" i="6"/>
  <c r="D51" i="6"/>
  <c r="C51" i="6"/>
  <c r="C50" i="6"/>
  <c r="D49" i="6"/>
  <c r="C49" i="6"/>
  <c r="C48" i="6"/>
  <c r="C47" i="6"/>
  <c r="C46" i="6"/>
  <c r="C45" i="6"/>
  <c r="D44" i="6"/>
  <c r="C44" i="6"/>
  <c r="D43" i="6"/>
  <c r="C43" i="6"/>
  <c r="C42" i="6"/>
  <c r="D41" i="6"/>
  <c r="C41" i="6"/>
  <c r="C40" i="6"/>
  <c r="C39" i="6"/>
  <c r="C38" i="6"/>
  <c r="C37" i="6"/>
  <c r="D36" i="6"/>
  <c r="C36" i="6"/>
  <c r="D35" i="6"/>
  <c r="C35" i="6"/>
  <c r="C34" i="6"/>
  <c r="D33" i="6"/>
  <c r="C33" i="6"/>
  <c r="C32" i="6"/>
  <c r="C31" i="6"/>
  <c r="C30" i="6"/>
  <c r="C29" i="6"/>
  <c r="D28" i="6"/>
  <c r="C28" i="6"/>
  <c r="D27" i="6"/>
  <c r="C27" i="6"/>
  <c r="C26" i="6"/>
  <c r="D25" i="6"/>
  <c r="C25" i="6"/>
  <c r="C24" i="6"/>
  <c r="C23" i="6"/>
  <c r="C22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4" i="6"/>
  <c r="C4" i="6"/>
  <c r="O66" i="1"/>
  <c r="M66" i="1"/>
  <c r="O65" i="1"/>
  <c r="M65" i="1"/>
  <c r="O64" i="1"/>
  <c r="M64" i="1"/>
  <c r="O63" i="1"/>
  <c r="M63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 l="1"/>
  <c r="M53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39" i="1"/>
  <c r="M39" i="1"/>
  <c r="O37" i="1"/>
  <c r="M37" i="1"/>
  <c r="O36" i="1"/>
  <c r="M36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D1034" i="6" l="1"/>
  <c r="D1032" i="6"/>
  <c r="D1031" i="6"/>
  <c r="D1030" i="6"/>
  <c r="D1029" i="6"/>
  <c r="D1026" i="6"/>
  <c r="D1024" i="6"/>
  <c r="D1023" i="6"/>
  <c r="D1022" i="6"/>
  <c r="D1021" i="6"/>
  <c r="D1010" i="6" l="1"/>
  <c r="D1008" i="6"/>
  <c r="D1007" i="6"/>
  <c r="D1006" i="6"/>
  <c r="D1005" i="6"/>
  <c r="D1002" i="6"/>
  <c r="D1000" i="6"/>
  <c r="D999" i="6"/>
  <c r="D998" i="6"/>
  <c r="D997" i="6"/>
  <c r="D994" i="6"/>
  <c r="D992" i="6"/>
  <c r="D991" i="6"/>
  <c r="D990" i="6"/>
  <c r="D989" i="6"/>
  <c r="D984" i="6"/>
  <c r="D983" i="6"/>
  <c r="D982" i="6"/>
  <c r="D981" i="6"/>
  <c r="D978" i="6"/>
  <c r="D976" i="6"/>
  <c r="D975" i="6"/>
  <c r="D974" i="6"/>
  <c r="D973" i="6"/>
  <c r="D970" i="6"/>
  <c r="D968" i="6"/>
  <c r="D967" i="6"/>
  <c r="D966" i="6"/>
  <c r="D965" i="6"/>
  <c r="D962" i="6"/>
  <c r="D960" i="6"/>
  <c r="D959" i="6"/>
  <c r="D958" i="6"/>
  <c r="D957" i="6"/>
  <c r="D954" i="6"/>
  <c r="D952" i="6"/>
  <c r="D951" i="6"/>
  <c r="D950" i="6"/>
  <c r="D949" i="6"/>
  <c r="D944" i="6"/>
  <c r="D943" i="6"/>
  <c r="D942" i="6"/>
  <c r="D941" i="6"/>
  <c r="D938" i="6"/>
  <c r="D936" i="6"/>
  <c r="D935" i="6"/>
  <c r="D934" i="6"/>
  <c r="D933" i="6"/>
  <c r="D930" i="6"/>
  <c r="D928" i="6"/>
  <c r="D927" i="6"/>
  <c r="D926" i="6"/>
  <c r="D925" i="6"/>
  <c r="D922" i="6"/>
  <c r="D920" i="6"/>
  <c r="D919" i="6"/>
  <c r="D918" i="6"/>
  <c r="D917" i="6"/>
  <c r="D914" i="6"/>
  <c r="D912" i="6"/>
  <c r="D911" i="6"/>
  <c r="D910" i="6"/>
  <c r="D909" i="6"/>
  <c r="D906" i="6"/>
  <c r="D904" i="6"/>
  <c r="D903" i="6"/>
  <c r="D902" i="6"/>
  <c r="D901" i="6"/>
  <c r="D898" i="6"/>
  <c r="D896" i="6"/>
  <c r="D895" i="6"/>
  <c r="D894" i="6"/>
  <c r="D893" i="6"/>
  <c r="D890" i="6"/>
  <c r="D888" i="6"/>
  <c r="D887" i="6"/>
  <c r="D886" i="6"/>
  <c r="D885" i="6"/>
  <c r="D882" i="6"/>
  <c r="D880" i="6"/>
  <c r="D879" i="6"/>
  <c r="D878" i="6"/>
  <c r="D877" i="6"/>
  <c r="D874" i="6"/>
  <c r="D872" i="6"/>
  <c r="D871" i="6"/>
  <c r="D870" i="6"/>
  <c r="D869" i="6"/>
  <c r="D866" i="6"/>
  <c r="D864" i="6"/>
  <c r="D863" i="6"/>
  <c r="D862" i="6"/>
  <c r="D861" i="6"/>
  <c r="D858" i="6"/>
  <c r="D856" i="6"/>
  <c r="D855" i="6"/>
  <c r="D854" i="6"/>
  <c r="D853" i="6"/>
  <c r="D850" i="6"/>
  <c r="D848" i="6"/>
  <c r="D847" i="6"/>
  <c r="D846" i="6"/>
  <c r="D845" i="6"/>
  <c r="D842" i="6"/>
  <c r="D840" i="6"/>
  <c r="D839" i="6"/>
  <c r="D838" i="6"/>
  <c r="D837" i="6"/>
  <c r="D834" i="6"/>
  <c r="D832" i="6"/>
  <c r="D831" i="6"/>
  <c r="D830" i="6"/>
  <c r="D829" i="6"/>
  <c r="D826" i="6"/>
  <c r="D824" i="6"/>
  <c r="D823" i="6"/>
  <c r="D822" i="6"/>
  <c r="D821" i="6"/>
  <c r="D818" i="6"/>
  <c r="D816" i="6"/>
  <c r="D815" i="6"/>
  <c r="D814" i="6"/>
  <c r="D813" i="6"/>
  <c r="D810" i="6"/>
  <c r="D808" i="6"/>
  <c r="D807" i="6"/>
  <c r="D806" i="6"/>
  <c r="D805" i="6"/>
  <c r="D802" i="6"/>
  <c r="D800" i="6"/>
  <c r="D799" i="6"/>
  <c r="D798" i="6"/>
  <c r="D797" i="6"/>
  <c r="D794" i="6"/>
  <c r="D792" i="6"/>
  <c r="D791" i="6"/>
  <c r="D790" i="6"/>
  <c r="D789" i="6"/>
  <c r="D786" i="6"/>
  <c r="D784" i="6"/>
  <c r="D783" i="6"/>
  <c r="D782" i="6"/>
  <c r="D781" i="6"/>
  <c r="D778" i="6"/>
  <c r="D776" i="6"/>
  <c r="D775" i="6"/>
  <c r="D774" i="6"/>
  <c r="D773" i="6"/>
  <c r="D768" i="6"/>
  <c r="D767" i="6"/>
  <c r="D766" i="6"/>
  <c r="D765" i="6"/>
  <c r="D762" i="6"/>
  <c r="D760" i="6"/>
  <c r="D759" i="6"/>
  <c r="D758" i="6"/>
  <c r="D757" i="6"/>
  <c r="D754" i="6"/>
  <c r="D752" i="6"/>
  <c r="D751" i="6"/>
  <c r="D750" i="6"/>
  <c r="D749" i="6"/>
  <c r="D744" i="6"/>
  <c r="D743" i="6"/>
  <c r="D742" i="6"/>
  <c r="D741" i="6"/>
  <c r="D738" i="6"/>
  <c r="D736" i="6"/>
  <c r="D735" i="6"/>
  <c r="D734" i="6"/>
  <c r="D733" i="6"/>
  <c r="D730" i="6"/>
  <c r="D728" i="6"/>
  <c r="D727" i="6"/>
  <c r="D726" i="6"/>
  <c r="D725" i="6"/>
  <c r="D722" i="6"/>
  <c r="D720" i="6"/>
  <c r="D719" i="6"/>
  <c r="D718" i="6"/>
  <c r="D717" i="6"/>
  <c r="D714" i="6"/>
  <c r="D712" i="6"/>
  <c r="D711" i="6"/>
  <c r="D710" i="6"/>
  <c r="D709" i="6"/>
  <c r="D706" i="6"/>
  <c r="D704" i="6"/>
  <c r="D703" i="6"/>
  <c r="D702" i="6"/>
  <c r="D701" i="6"/>
  <c r="D696" i="6"/>
  <c r="D695" i="6"/>
  <c r="D694" i="6"/>
  <c r="D693" i="6"/>
  <c r="D683" i="6"/>
  <c r="D681" i="6"/>
  <c r="D679" i="6"/>
  <c r="D678" i="6"/>
  <c r="D677" i="6"/>
  <c r="D676" i="6"/>
  <c r="D674" i="6"/>
  <c r="D672" i="6"/>
  <c r="D670" i="6"/>
  <c r="D669" i="6"/>
  <c r="D668" i="6"/>
  <c r="D667" i="6"/>
  <c r="D665" i="6"/>
  <c r="D663" i="6"/>
  <c r="D661" i="6"/>
  <c r="D660" i="6"/>
  <c r="D659" i="6"/>
  <c r="D658" i="6"/>
  <c r="D656" i="6"/>
  <c r="D654" i="6"/>
  <c r="D652" i="6"/>
  <c r="D651" i="6"/>
  <c r="D650" i="6"/>
  <c r="D649" i="6"/>
  <c r="D647" i="6"/>
  <c r="D645" i="6"/>
  <c r="D643" i="6"/>
  <c r="D642" i="6"/>
  <c r="D641" i="6"/>
  <c r="D640" i="6"/>
  <c r="D638" i="6"/>
  <c r="D636" i="6"/>
  <c r="D634" i="6"/>
  <c r="D633" i="6"/>
  <c r="D632" i="6"/>
  <c r="D631" i="6"/>
  <c r="D629" i="6"/>
  <c r="D627" i="6"/>
  <c r="D625" i="6"/>
  <c r="D624" i="6"/>
  <c r="D623" i="6"/>
  <c r="D622" i="6"/>
  <c r="D620" i="6"/>
  <c r="D618" i="6"/>
  <c r="D616" i="6"/>
  <c r="D615" i="6"/>
  <c r="D614" i="6"/>
  <c r="D613" i="6"/>
  <c r="D611" i="6"/>
  <c r="D609" i="6"/>
  <c r="D607" i="6"/>
  <c r="D606" i="6"/>
  <c r="D605" i="6"/>
  <c r="D604" i="6"/>
  <c r="D602" i="6"/>
  <c r="D600" i="6"/>
  <c r="D598" i="6"/>
  <c r="D597" i="6"/>
  <c r="D596" i="6"/>
  <c r="D595" i="6"/>
  <c r="D593" i="6"/>
  <c r="D591" i="6"/>
  <c r="D589" i="6"/>
  <c r="D588" i="6"/>
  <c r="D587" i="6"/>
  <c r="D586" i="6"/>
  <c r="D584" i="6"/>
  <c r="D582" i="6"/>
  <c r="D580" i="6"/>
  <c r="D579" i="6"/>
  <c r="D578" i="6"/>
  <c r="D577" i="6"/>
  <c r="D575" i="6"/>
  <c r="D573" i="6"/>
  <c r="D571" i="6"/>
  <c r="D570" i="6"/>
  <c r="D569" i="6"/>
  <c r="D568" i="6"/>
  <c r="D566" i="6"/>
  <c r="D564" i="6"/>
  <c r="D562" i="6"/>
  <c r="D561" i="6"/>
  <c r="D560" i="6"/>
  <c r="D559" i="6"/>
  <c r="D557" i="6"/>
  <c r="D555" i="6"/>
  <c r="D553" i="6"/>
  <c r="D552" i="6"/>
  <c r="D551" i="6"/>
  <c r="D550" i="6"/>
  <c r="D538" i="6" l="1"/>
  <c r="D535" i="6"/>
  <c r="D534" i="6"/>
  <c r="D533" i="6"/>
  <c r="D530" i="6"/>
  <c r="D528" i="6"/>
  <c r="D527" i="6"/>
  <c r="D526" i="6"/>
  <c r="D525" i="6"/>
  <c r="C261" i="8"/>
  <c r="D506" i="6"/>
  <c r="D504" i="6"/>
  <c r="D503" i="6"/>
  <c r="D502" i="6"/>
  <c r="D501" i="6"/>
  <c r="D498" i="6"/>
  <c r="D496" i="6"/>
  <c r="D495" i="6"/>
  <c r="D494" i="6"/>
  <c r="D493" i="6"/>
  <c r="D490" i="6"/>
  <c r="D488" i="6"/>
  <c r="D487" i="6"/>
  <c r="D486" i="6"/>
  <c r="D485" i="6"/>
  <c r="D482" i="6"/>
  <c r="D480" i="6"/>
  <c r="D479" i="6"/>
  <c r="D478" i="6"/>
  <c r="D477" i="6"/>
  <c r="D474" i="6" l="1"/>
  <c r="D472" i="6"/>
  <c r="D471" i="6"/>
  <c r="D470" i="6"/>
  <c r="D469" i="6"/>
  <c r="D458" i="6"/>
  <c r="D456" i="6"/>
  <c r="D455" i="6"/>
  <c r="D454" i="6"/>
  <c r="D453" i="6"/>
  <c r="D450" i="6"/>
  <c r="D448" i="6"/>
  <c r="D447" i="6"/>
  <c r="D446" i="6"/>
  <c r="D445" i="6"/>
  <c r="D442" i="6"/>
  <c r="D440" i="6"/>
  <c r="D439" i="6"/>
  <c r="D438" i="6"/>
  <c r="D437" i="6"/>
  <c r="D418" i="6"/>
  <c r="D416" i="6"/>
  <c r="D415" i="6"/>
  <c r="D414" i="6"/>
  <c r="D413" i="6"/>
  <c r="D410" i="6"/>
  <c r="D408" i="6"/>
  <c r="D407" i="6"/>
  <c r="D406" i="6"/>
  <c r="D405" i="6"/>
  <c r="D378" i="6" l="1"/>
  <c r="D376" i="6"/>
  <c r="D375" i="6"/>
  <c r="D374" i="6"/>
  <c r="D373" i="6"/>
  <c r="D370" i="6"/>
  <c r="D368" i="6"/>
  <c r="D367" i="6"/>
  <c r="D366" i="6"/>
  <c r="D365" i="6"/>
  <c r="D354" i="6"/>
  <c r="D352" i="6"/>
  <c r="D351" i="6"/>
  <c r="D350" i="6"/>
  <c r="D349" i="6"/>
  <c r="D346" i="6"/>
  <c r="D344" i="6"/>
  <c r="D343" i="6"/>
  <c r="D342" i="6"/>
  <c r="D341" i="6"/>
  <c r="D338" i="6"/>
  <c r="D336" i="6"/>
  <c r="D335" i="6"/>
  <c r="D334" i="6"/>
  <c r="D333" i="6"/>
  <c r="D330" i="6"/>
  <c r="D328" i="6"/>
  <c r="D327" i="6"/>
  <c r="D326" i="6"/>
  <c r="D325" i="6"/>
  <c r="D322" i="6"/>
  <c r="D320" i="6"/>
  <c r="D319" i="6"/>
  <c r="D318" i="6"/>
  <c r="D317" i="6"/>
  <c r="D314" i="6"/>
  <c r="D312" i="6"/>
  <c r="D311" i="6"/>
  <c r="D310" i="6"/>
  <c r="D309" i="6"/>
  <c r="D306" i="6"/>
  <c r="D304" i="6"/>
  <c r="D303" i="6"/>
  <c r="D302" i="6"/>
  <c r="D301" i="6"/>
  <c r="D298" i="6"/>
  <c r="D296" i="6"/>
  <c r="D295" i="6"/>
  <c r="D294" i="6"/>
  <c r="D293" i="6"/>
  <c r="D290" i="6"/>
  <c r="D288" i="6"/>
  <c r="D287" i="6"/>
  <c r="D286" i="6"/>
  <c r="D285" i="6"/>
  <c r="D282" i="6"/>
  <c r="D280" i="6"/>
  <c r="D279" i="6"/>
  <c r="D278" i="6"/>
  <c r="D277" i="6"/>
  <c r="D274" i="6"/>
  <c r="D272" i="6"/>
  <c r="D271" i="6"/>
  <c r="D270" i="6"/>
  <c r="D269" i="6"/>
  <c r="D266" i="6"/>
  <c r="D264" i="6"/>
  <c r="D263" i="6"/>
  <c r="D262" i="6"/>
  <c r="D261" i="6"/>
  <c r="D258" i="6"/>
  <c r="D256" i="6"/>
  <c r="D255" i="6"/>
  <c r="D254" i="6"/>
  <c r="D253" i="6"/>
  <c r="D250" i="6"/>
  <c r="D248" i="6"/>
  <c r="D247" i="6"/>
  <c r="D246" i="6"/>
  <c r="D245" i="6"/>
  <c r="D242" i="6"/>
  <c r="D240" i="6"/>
  <c r="D239" i="6"/>
  <c r="D238" i="6"/>
  <c r="D237" i="6"/>
  <c r="D234" i="6"/>
  <c r="D232" i="6"/>
  <c r="D231" i="6"/>
  <c r="D230" i="6"/>
  <c r="D229" i="6"/>
  <c r="D226" i="6"/>
  <c r="D224" i="6"/>
  <c r="D223" i="6"/>
  <c r="D222" i="6"/>
  <c r="D221" i="6"/>
  <c r="D218" i="6"/>
  <c r="D216" i="6"/>
  <c r="D215" i="6"/>
  <c r="D214" i="6"/>
  <c r="D213" i="6"/>
  <c r="D210" i="6"/>
  <c r="D208" i="6"/>
  <c r="D207" i="6"/>
  <c r="D206" i="6"/>
  <c r="D205" i="6"/>
  <c r="D202" i="6"/>
  <c r="D200" i="6"/>
  <c r="D199" i="6"/>
  <c r="D198" i="6"/>
  <c r="D197" i="6"/>
  <c r="D186" i="6"/>
  <c r="D184" i="6"/>
  <c r="D183" i="6"/>
  <c r="D182" i="6"/>
  <c r="D181" i="6"/>
  <c r="D178" i="6"/>
  <c r="D176" i="6"/>
  <c r="D175" i="6"/>
  <c r="D174" i="6"/>
  <c r="D173" i="6"/>
  <c r="D170" i="6"/>
  <c r="D168" i="6"/>
  <c r="D167" i="6"/>
  <c r="D166" i="6"/>
  <c r="D165" i="6"/>
  <c r="D162" i="6"/>
  <c r="D160" i="6"/>
  <c r="D159" i="6"/>
  <c r="D158" i="6"/>
  <c r="D157" i="6"/>
  <c r="D154" i="6"/>
  <c r="D152" i="6"/>
  <c r="D151" i="6"/>
  <c r="D150" i="6"/>
  <c r="D149" i="6"/>
  <c r="D138" i="6"/>
  <c r="D136" i="6"/>
  <c r="D135" i="6"/>
  <c r="D134" i="6"/>
  <c r="D133" i="6"/>
  <c r="D130" i="6"/>
  <c r="D128" i="6"/>
  <c r="D127" i="6"/>
  <c r="D126" i="6"/>
  <c r="D125" i="6"/>
  <c r="D122" i="6"/>
  <c r="D120" i="6"/>
  <c r="D119" i="6"/>
  <c r="D118" i="6"/>
  <c r="D117" i="6"/>
  <c r="D114" i="6"/>
  <c r="D112" i="6"/>
  <c r="D111" i="6"/>
  <c r="D110" i="6"/>
  <c r="D109" i="6"/>
  <c r="D106" i="6"/>
  <c r="D104" i="6"/>
  <c r="D103" i="6"/>
  <c r="D102" i="6"/>
  <c r="D101" i="6"/>
  <c r="D98" i="6"/>
  <c r="D96" i="6"/>
  <c r="D95" i="6"/>
  <c r="D94" i="6"/>
  <c r="D93" i="6"/>
  <c r="D90" i="6"/>
  <c r="D88" i="6"/>
  <c r="D87" i="6"/>
  <c r="D86" i="6"/>
  <c r="D85" i="6"/>
  <c r="D82" i="6"/>
  <c r="D80" i="6"/>
  <c r="D79" i="6"/>
  <c r="D78" i="6"/>
  <c r="D77" i="6"/>
  <c r="D74" i="6"/>
  <c r="D72" i="6"/>
  <c r="D71" i="6"/>
  <c r="D70" i="6"/>
  <c r="D69" i="6"/>
  <c r="D66" i="6"/>
  <c r="D64" i="6"/>
  <c r="D63" i="6"/>
  <c r="D62" i="6"/>
  <c r="D61" i="6"/>
  <c r="D58" i="6"/>
  <c r="D56" i="6"/>
  <c r="D55" i="6"/>
  <c r="D54" i="6"/>
  <c r="D53" i="6"/>
  <c r="D50" i="6"/>
  <c r="D48" i="6"/>
  <c r="D47" i="6"/>
  <c r="D46" i="6"/>
  <c r="D45" i="6"/>
  <c r="D42" i="6"/>
  <c r="D40" i="6"/>
  <c r="D39" i="6"/>
  <c r="D38" i="6"/>
  <c r="D37" i="6"/>
  <c r="D34" i="6"/>
  <c r="D32" i="6"/>
  <c r="D31" i="6"/>
  <c r="D30" i="6"/>
  <c r="D29" i="6"/>
  <c r="D26" i="6"/>
  <c r="D24" i="6"/>
  <c r="D23" i="6"/>
  <c r="D22" i="6"/>
  <c r="D21" i="6"/>
</calcChain>
</file>

<file path=xl/sharedStrings.xml><?xml version="1.0" encoding="utf-8"?>
<sst xmlns="http://schemas.openxmlformats.org/spreadsheetml/2006/main" count="10770" uniqueCount="467">
  <si>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</si>
  <si>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</si>
  <si>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</si>
  <si>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</si>
  <si>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</si>
  <si>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</si>
  <si>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</si>
  <si>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</si>
  <si>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</si>
  <si>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</si>
  <si>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</si>
  <si>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</si>
  <si>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</si>
  <si>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</si>
  <si>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</si>
  <si>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</si>
  <si>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</si>
  <si>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</si>
  <si>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</si>
  <si>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</si>
  <si>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</si>
  <si>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</si>
  <si>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</si>
  <si>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</si>
  <si>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</si>
  <si>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</si>
  <si>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</si>
  <si>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</si>
  <si>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</si>
  <si>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</si>
  <si>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</si>
  <si>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</si>
  <si>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</si>
  <si>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</si>
  <si>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</si>
  <si>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</si>
  <si>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</si>
  <si>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</si>
  <si>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</si>
  <si>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</si>
  <si>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</si>
  <si>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</si>
  <si>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</si>
  <si>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</si>
  <si>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</si>
  <si>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</si>
  <si>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</si>
  <si>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</si>
  <si>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</si>
  <si>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</si>
  <si>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</si>
  <si>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</si>
  <si>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</si>
  <si>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</si>
  <si>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</si>
  <si>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</si>
  <si>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</si>
  <si>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</si>
  <si>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</si>
  <si>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</si>
  <si>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</si>
  <si>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</si>
  <si>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</si>
  <si>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</si>
  <si>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</si>
  <si>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</si>
  <si>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</si>
  <si>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</si>
  <si>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</si>
  <si>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</si>
  <si>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</si>
  <si>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</si>
  <si>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</si>
  <si>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</si>
  <si>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</si>
  <si>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</si>
  <si>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</si>
  <si>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</si>
  <si>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</si>
  <si>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</si>
  <si>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</si>
  <si>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</si>
  <si>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</si>
  <si>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</si>
  <si>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</si>
  <si>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</si>
  <si>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</si>
  <si>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</si>
  <si>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</si>
  <si>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</si>
  <si>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</si>
  <si>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</si>
  <si>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</si>
  <si>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</si>
  <si>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</si>
  <si>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</si>
  <si>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</si>
  <si>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</si>
  <si>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</si>
  <si>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</si>
  <si>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</si>
  <si>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</si>
  <si>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</si>
  <si>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</si>
  <si>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</si>
  <si>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</si>
  <si>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</si>
  <si>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</si>
  <si>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</si>
  <si>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</si>
  <si>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</si>
  <si>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</si>
  <si>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</si>
  <si>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</si>
  <si>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</si>
  <si>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</si>
  <si>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</si>
  <si>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</si>
  <si>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</si>
  <si>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</si>
  <si>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</si>
  <si>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</si>
  <si>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</si>
  <si>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</si>
  <si>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</si>
  <si>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</si>
  <si>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</si>
  <si>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</si>
  <si>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</si>
  <si>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</si>
  <si>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</si>
  <si>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</si>
  <si>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</si>
  <si>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</si>
  <si>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</si>
  <si>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</si>
  <si>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</si>
  <si>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</si>
  <si>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</si>
  <si>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</si>
  <si>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</si>
  <si>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</si>
  <si>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</si>
  <si>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</si>
  <si>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</si>
  <si>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</si>
  <si>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</si>
  <si>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</si>
  <si>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</si>
  <si>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</si>
  <si>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</si>
  <si>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</si>
  <si>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</si>
  <si>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</si>
  <si>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</si>
  <si>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</si>
  <si>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</si>
  <si>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</si>
  <si>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</si>
  <si>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</si>
  <si>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</si>
  <si>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</si>
  <si>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</si>
  <si>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</si>
  <si>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</si>
  <si>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</si>
  <si>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</si>
  <si>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</si>
  <si>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</si>
  <si>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</si>
  <si>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</si>
  <si>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</si>
  <si>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</si>
  <si>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</si>
  <si>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</si>
  <si>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</si>
  <si>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</si>
  <si>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</si>
  <si>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</si>
  <si>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</si>
  <si>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</si>
  <si>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</si>
  <si>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</si>
  <si>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</si>
  <si>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</si>
  <si>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</si>
  <si>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</si>
  <si>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</si>
  <si>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</si>
  <si>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</si>
  <si>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</si>
  <si>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</si>
  <si>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</si>
  <si>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</si>
  <si>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</si>
  <si>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</si>
  <si>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</si>
  <si>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</si>
  <si>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</si>
  <si>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</si>
  <si>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</si>
  <si>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</si>
  <si>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</si>
  <si>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</si>
  <si>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</si>
  <si>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</si>
  <si>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</si>
  <si>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</si>
  <si>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</si>
  <si>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</si>
  <si>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</si>
  <si>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</si>
  <si>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</si>
  <si>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</si>
  <si>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PESOS</t>
  </si>
  <si>
    <t>QUINCENAL</t>
  </si>
  <si>
    <t>DIRECCION GENERAL</t>
  </si>
  <si>
    <t>Director de Area</t>
  </si>
  <si>
    <t>Brontis Xavier</t>
  </si>
  <si>
    <t>Anaya</t>
  </si>
  <si>
    <t>Torres</t>
  </si>
  <si>
    <t>N/D</t>
  </si>
  <si>
    <t>Sueldo</t>
  </si>
  <si>
    <t>Despensa</t>
  </si>
  <si>
    <t>Ayuda por Servicios</t>
  </si>
  <si>
    <t>Asignacion por apoyo a la docencia</t>
  </si>
  <si>
    <t>Ayuda por Servicios a la docencia</t>
  </si>
  <si>
    <t>otros ingresos</t>
  </si>
  <si>
    <t>Prevision Social Multiple</t>
  </si>
  <si>
    <t>compensacion</t>
  </si>
  <si>
    <t>Aguinaldo</t>
  </si>
  <si>
    <t>indemnizacion</t>
  </si>
  <si>
    <t>separacion unica</t>
  </si>
  <si>
    <t>ANUAL</t>
  </si>
  <si>
    <t>SEPARACION</t>
  </si>
  <si>
    <t>Prima de Vacaciones</t>
  </si>
  <si>
    <t>Prima de Antigüedad</t>
  </si>
  <si>
    <t>SEMESTRAL</t>
  </si>
  <si>
    <t>Ayuda para Utiles Escolares</t>
  </si>
  <si>
    <t>Pesos</t>
  </si>
  <si>
    <t>Anual</t>
  </si>
  <si>
    <t>Vacaciones</t>
  </si>
  <si>
    <t>Auxiliar Juridico</t>
  </si>
  <si>
    <t>Ivanna Fernanda</t>
  </si>
  <si>
    <t>Arredondo</t>
  </si>
  <si>
    <t>Najera</t>
  </si>
  <si>
    <t>Directivo</t>
  </si>
  <si>
    <t>Administrativo</t>
  </si>
  <si>
    <t>Coordinador de area</t>
  </si>
  <si>
    <t>Coordinador de tecnologia e informatica</t>
  </si>
  <si>
    <t>Luis Guillermo</t>
  </si>
  <si>
    <t>Campos</t>
  </si>
  <si>
    <t>Saucedo</t>
  </si>
  <si>
    <t xml:space="preserve">Auxiliar Entidad y  Certificacion </t>
  </si>
  <si>
    <t>Beatriz Isabel</t>
  </si>
  <si>
    <t>Cota</t>
  </si>
  <si>
    <t>Romero</t>
  </si>
  <si>
    <t>Coordinadora de Entidad y Certificacion</t>
  </si>
  <si>
    <t>Bertha Judith</t>
  </si>
  <si>
    <t>Escobar</t>
  </si>
  <si>
    <t>Coordinacion de Recursos Humanos</t>
  </si>
  <si>
    <t>servicios y mantenimientos</t>
  </si>
  <si>
    <t>Asistente de servicios y mantenimientos</t>
  </si>
  <si>
    <t>Erasmo</t>
  </si>
  <si>
    <t>Hernandez</t>
  </si>
  <si>
    <t>Ramos</t>
  </si>
  <si>
    <t>Auxiliar Administrativo</t>
  </si>
  <si>
    <t>Cinthia Maria</t>
  </si>
  <si>
    <t xml:space="preserve">Leon </t>
  </si>
  <si>
    <t>Tapiz</t>
  </si>
  <si>
    <t>Auxiliar Normatividad Academica</t>
  </si>
  <si>
    <t>Patricia Guadalupe</t>
  </si>
  <si>
    <t>Marquez</t>
  </si>
  <si>
    <t>Martinez</t>
  </si>
  <si>
    <t>Marco Antonio</t>
  </si>
  <si>
    <t>Murrieta</t>
  </si>
  <si>
    <t>Secretaria de Direccion Administrativa</t>
  </si>
  <si>
    <t>Mariana</t>
  </si>
  <si>
    <t>Melendez</t>
  </si>
  <si>
    <t>Moreno</t>
  </si>
  <si>
    <t>Asistente de Planeacion</t>
  </si>
  <si>
    <t>Veronica Ileana</t>
  </si>
  <si>
    <t>Origel</t>
  </si>
  <si>
    <t>Unzon</t>
  </si>
  <si>
    <t>Secretaria Unidad de Capacitacion</t>
  </si>
  <si>
    <t>UNIDAD CAPACITACION LA PAZ</t>
  </si>
  <si>
    <t>Perla Karina</t>
  </si>
  <si>
    <t>Reyes</t>
  </si>
  <si>
    <t>Nuñez</t>
  </si>
  <si>
    <t>Auxiliar de Capacitacion</t>
  </si>
  <si>
    <t>Darlenne</t>
  </si>
  <si>
    <t>Rios</t>
  </si>
  <si>
    <t>Espinoza</t>
  </si>
  <si>
    <t>Amparo Donagi</t>
  </si>
  <si>
    <t>Rodriguez</t>
  </si>
  <si>
    <t>Trasviña</t>
  </si>
  <si>
    <t>Enlace Accion Movil Los Cabos</t>
  </si>
  <si>
    <t>ACCION MOVIL LOS CABOS</t>
  </si>
  <si>
    <t>Diana Carolina</t>
  </si>
  <si>
    <t>Salcido</t>
  </si>
  <si>
    <t>Ramirez</t>
  </si>
  <si>
    <t>Secretaria de Direccion General</t>
  </si>
  <si>
    <t>Dennys</t>
  </si>
  <si>
    <t>Vargas</t>
  </si>
  <si>
    <t>Garcia</t>
  </si>
  <si>
    <t>Auxiliar Contable</t>
  </si>
  <si>
    <t>Ana Malibeth</t>
  </si>
  <si>
    <t>Albañex</t>
  </si>
  <si>
    <t>Director de Area de Planeacion</t>
  </si>
  <si>
    <t>Director de Area de Normatividad academica</t>
  </si>
  <si>
    <t>Maria Angelica</t>
  </si>
  <si>
    <t>Medina</t>
  </si>
  <si>
    <t>Antonio Edmundo</t>
  </si>
  <si>
    <t xml:space="preserve">Lucero </t>
  </si>
  <si>
    <t>Parra</t>
  </si>
  <si>
    <t>Garely</t>
  </si>
  <si>
    <t>Monroy</t>
  </si>
  <si>
    <t>Covarrubias</t>
  </si>
  <si>
    <t>Karla Zitlalix</t>
  </si>
  <si>
    <t>Arias</t>
  </si>
  <si>
    <t>Esparza</t>
  </si>
  <si>
    <t>Hector Armando</t>
  </si>
  <si>
    <t>Lopez</t>
  </si>
  <si>
    <t>Madero</t>
  </si>
  <si>
    <t>Coordinadora de Control Escolar</t>
  </si>
  <si>
    <t>Alma Rosa</t>
  </si>
  <si>
    <t>Santa ana</t>
  </si>
  <si>
    <t>Tena</t>
  </si>
  <si>
    <t>Director de Area de Capacitacion y Vinculacion</t>
  </si>
  <si>
    <t>Eugenio</t>
  </si>
  <si>
    <t>Collins</t>
  </si>
  <si>
    <t>Sanchez</t>
  </si>
  <si>
    <t>Patricia Victoria</t>
  </si>
  <si>
    <t>Arellano</t>
  </si>
  <si>
    <t>Licona</t>
  </si>
  <si>
    <t>Coordinador de Difusion y comunicación social</t>
  </si>
  <si>
    <t>David Alejandro</t>
  </si>
  <si>
    <t xml:space="preserve">Leal </t>
  </si>
  <si>
    <t>Mora</t>
  </si>
  <si>
    <t>Encargada de Unidad Capacitacion La  Paz</t>
  </si>
  <si>
    <t>Angelica Hayde</t>
  </si>
  <si>
    <t>Macias</t>
  </si>
  <si>
    <t>Izquierdo</t>
  </si>
  <si>
    <t>Chofer</t>
  </si>
  <si>
    <t>Luis Enrique</t>
  </si>
  <si>
    <t>Ivan Javier</t>
  </si>
  <si>
    <t>Gonzalez</t>
  </si>
  <si>
    <t>Aleyda</t>
  </si>
  <si>
    <t>Peralta</t>
  </si>
  <si>
    <t>Auxiliar de Difusion y Comunicación social</t>
  </si>
  <si>
    <t>Alondra</t>
  </si>
  <si>
    <t>Costich</t>
  </si>
  <si>
    <t>Olvera</t>
  </si>
  <si>
    <t>Papik Valentin</t>
  </si>
  <si>
    <t xml:space="preserve">Delgado </t>
  </si>
  <si>
    <t>Murillo</t>
  </si>
  <si>
    <t>Yessica Guadalupe</t>
  </si>
  <si>
    <t>Cruz</t>
  </si>
  <si>
    <t>España</t>
  </si>
  <si>
    <t>Victor Eduardo</t>
  </si>
  <si>
    <t>Zazueta</t>
  </si>
  <si>
    <t>Auxiliar de Planeacion</t>
  </si>
  <si>
    <t>Blanca Esthela</t>
  </si>
  <si>
    <t>Auxiliar de Accion Movil</t>
  </si>
  <si>
    <t>ACCION MOVIL COMONDU</t>
  </si>
  <si>
    <t>Blanca Angelica</t>
  </si>
  <si>
    <t>Andrade</t>
  </si>
  <si>
    <t>Recepcionista</t>
  </si>
  <si>
    <t>Flor de Maria</t>
  </si>
  <si>
    <t>Auxiliar de Accion Movil Los Cabos</t>
  </si>
  <si>
    <t>Jose</t>
  </si>
  <si>
    <t>Ojeda</t>
  </si>
  <si>
    <t>Ruiz</t>
  </si>
  <si>
    <t>Daniel</t>
  </si>
  <si>
    <t>Ascencio</t>
  </si>
  <si>
    <t>Alexis</t>
  </si>
  <si>
    <t>Carvajal</t>
  </si>
  <si>
    <t>Marisol</t>
  </si>
  <si>
    <t>Diaz</t>
  </si>
  <si>
    <t>Bañaga</t>
  </si>
  <si>
    <t>Israel</t>
  </si>
  <si>
    <t>Cordero</t>
  </si>
  <si>
    <t>Ortega</t>
  </si>
  <si>
    <t>Jefe de Servicios y Mantenimientos</t>
  </si>
  <si>
    <t>Jose Francisco</t>
  </si>
  <si>
    <t>Sosa</t>
  </si>
  <si>
    <t>Perez</t>
  </si>
  <si>
    <t>Coordinador de Recursos Humanos</t>
  </si>
  <si>
    <t>Gerardo</t>
  </si>
  <si>
    <t>Flores</t>
  </si>
  <si>
    <t>Gameros</t>
  </si>
  <si>
    <t>Director de Area Administrativa</t>
  </si>
  <si>
    <t xml:space="preserve">Julio Cesar </t>
  </si>
  <si>
    <t>Buenrostro</t>
  </si>
  <si>
    <t>De Dios</t>
  </si>
  <si>
    <t>Valeria Karina</t>
  </si>
  <si>
    <t>Ana Lilia</t>
  </si>
  <si>
    <t>Carballo</t>
  </si>
  <si>
    <t>Cervantes</t>
  </si>
  <si>
    <t>Director General</t>
  </si>
  <si>
    <t>Ricardo</t>
  </si>
  <si>
    <t>Higuera</t>
  </si>
  <si>
    <t>Director de Plantel</t>
  </si>
  <si>
    <t>Supervisor General</t>
  </si>
  <si>
    <t>Victor Hugo</t>
  </si>
  <si>
    <t>Caballero</t>
  </si>
  <si>
    <t>Salas</t>
  </si>
  <si>
    <t>Jefatura</t>
  </si>
  <si>
    <t>Jefe de Capacitacion</t>
  </si>
  <si>
    <t>Jefa de Unidad Juridica</t>
  </si>
  <si>
    <t>Magdalena</t>
  </si>
  <si>
    <t>Gallegos</t>
  </si>
  <si>
    <t>Ortiz</t>
  </si>
  <si>
    <t>Jefe de administracion y control escolar</t>
  </si>
  <si>
    <t>Isaias Asnel</t>
  </si>
  <si>
    <t>Osuna</t>
  </si>
  <si>
    <t>Barrera</t>
  </si>
  <si>
    <t>Asistente de Direccion General</t>
  </si>
  <si>
    <t>Adriana Guetzabel</t>
  </si>
  <si>
    <t>Avila</t>
  </si>
  <si>
    <t>Jefe de Vinculacion</t>
  </si>
  <si>
    <t>Juan Carlos</t>
  </si>
  <si>
    <t>Jimenez</t>
  </si>
  <si>
    <t>Fuentes</t>
  </si>
  <si>
    <t>Coordinador de Planeacion</t>
  </si>
  <si>
    <t>Uriel</t>
  </si>
  <si>
    <t>Arce</t>
  </si>
  <si>
    <t>Coordinadora de Accion Movil</t>
  </si>
  <si>
    <t>Maria Elena</t>
  </si>
  <si>
    <t>Castro</t>
  </si>
  <si>
    <t>Terrazas</t>
  </si>
  <si>
    <t>Jesus Adlemy</t>
  </si>
  <si>
    <t>Salazar</t>
  </si>
  <si>
    <t>Davis</t>
  </si>
  <si>
    <t>Coordinadora de Normatividad Academica</t>
  </si>
  <si>
    <t>Vianey</t>
  </si>
  <si>
    <t>Gaxiola</t>
  </si>
  <si>
    <t>Palacios</t>
  </si>
  <si>
    <t>Nadia Elizabeth</t>
  </si>
  <si>
    <t>Martha Sarahib</t>
  </si>
  <si>
    <t>Ibarra</t>
  </si>
  <si>
    <t>Yeselyn Pamela</t>
  </si>
  <si>
    <t>Davila</t>
  </si>
  <si>
    <t>Beatriz</t>
  </si>
  <si>
    <t>Luna</t>
  </si>
  <si>
    <t>Carlos Manuel</t>
  </si>
  <si>
    <t>Carlos Vidal</t>
  </si>
  <si>
    <t>Yee</t>
  </si>
  <si>
    <t>Romo</t>
  </si>
  <si>
    <t>Jesus</t>
  </si>
  <si>
    <t>Druk</t>
  </si>
  <si>
    <t>Javier Arturo</t>
  </si>
  <si>
    <t>Quintana</t>
  </si>
  <si>
    <t>Hidalgo</t>
  </si>
  <si>
    <t>Arturo</t>
  </si>
  <si>
    <t>Ramses Ivan</t>
  </si>
  <si>
    <t>Bianchis</t>
  </si>
  <si>
    <t>Jefe de oficina</t>
  </si>
  <si>
    <t>Angel Isaac</t>
  </si>
  <si>
    <t>Peñaloza</t>
  </si>
  <si>
    <t>Encargado de unidad Transparencia</t>
  </si>
  <si>
    <t>Quinquenio</t>
  </si>
  <si>
    <t>Cristo Israel</t>
  </si>
  <si>
    <t>Gaynor</t>
  </si>
  <si>
    <t>Zamora</t>
  </si>
  <si>
    <t>Maria Guadalupe</t>
  </si>
  <si>
    <t>Es inexistente la informacion de las columbas Q,R,T,W,X,Y,Z,AA, AC debido a que son prestaciones que no estan contempladas en el anexo de ejecución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</si>
</sst>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7"/>
  <sheetViews>
    <sheetView tabSelected="1" topLeftCell="A119" zoomScale="110" zoomScaleNormal="110" workbookViewId="0">
      <selection activeCell="F139" sqref="F13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85546875" customWidth="1"/>
    <col min="4" max="4" width="29.140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bestFit="1" customWidth="1"/>
    <col min="10" max="10" width="13.5703125" hidden="1" customWidth="1"/>
    <col min="11" max="11" width="15.42578125" hidden="1" customWidth="1"/>
    <col min="12" max="12" width="14" hidden="1" customWidth="1"/>
    <col min="13" max="13" width="36.42578125" customWidth="1"/>
    <col min="14" max="14" width="18.140625" hidden="1" customWidth="1"/>
    <col min="15" max="15" width="45.5703125" customWidth="1"/>
    <col min="16" max="16" width="10.5703125" customWidth="1"/>
    <col min="17" max="17" width="7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1.4257812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82</v>
      </c>
      <c r="E8" t="s">
        <v>246</v>
      </c>
      <c r="F8" t="s">
        <v>217</v>
      </c>
      <c r="G8" t="s">
        <v>308</v>
      </c>
      <c r="H8" t="s">
        <v>216</v>
      </c>
      <c r="I8" t="s">
        <v>218</v>
      </c>
      <c r="J8" t="s">
        <v>219</v>
      </c>
      <c r="K8" t="s">
        <v>220</v>
      </c>
      <c r="L8" t="s">
        <v>94</v>
      </c>
      <c r="M8">
        <f>101978.4+101978.4</f>
        <v>203956.8</v>
      </c>
      <c r="N8" t="s">
        <v>214</v>
      </c>
      <c r="O8">
        <f>80408.22+80233.62</f>
        <v>160641.84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260</v>
      </c>
      <c r="AE8" s="3">
        <v>43281</v>
      </c>
      <c r="AF8" s="3">
        <v>43281</v>
      </c>
      <c r="AG8" t="s">
        <v>466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E9" t="s">
        <v>247</v>
      </c>
      <c r="F9" t="s">
        <v>242</v>
      </c>
      <c r="G9" t="s">
        <v>242</v>
      </c>
      <c r="H9" t="s">
        <v>216</v>
      </c>
      <c r="I9" t="s">
        <v>243</v>
      </c>
      <c r="J9" t="s">
        <v>244</v>
      </c>
      <c r="K9" t="s">
        <v>245</v>
      </c>
      <c r="L9" t="s">
        <v>93</v>
      </c>
      <c r="M9">
        <f>25666.64+26333.36</f>
        <v>52000</v>
      </c>
      <c r="N9" t="s">
        <v>214</v>
      </c>
      <c r="O9">
        <f>23717.31+23988.34</f>
        <v>47705.65</v>
      </c>
      <c r="P9" t="s">
        <v>214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260</v>
      </c>
      <c r="AE9" s="3">
        <v>43281</v>
      </c>
      <c r="AF9" s="3">
        <v>43281</v>
      </c>
      <c r="AG9" s="10" t="s">
        <v>466</v>
      </c>
    </row>
    <row r="10" spans="1:33" x14ac:dyDescent="0.25">
      <c r="A10">
        <v>2018</v>
      </c>
      <c r="B10" s="3">
        <v>43101</v>
      </c>
      <c r="C10" s="3">
        <v>43281</v>
      </c>
      <c r="D10" t="s">
        <v>83</v>
      </c>
      <c r="E10" t="s">
        <v>247</v>
      </c>
      <c r="F10" t="s">
        <v>248</v>
      </c>
      <c r="G10" t="s">
        <v>249</v>
      </c>
      <c r="H10" t="s">
        <v>216</v>
      </c>
      <c r="I10" t="s">
        <v>250</v>
      </c>
      <c r="J10" t="s">
        <v>251</v>
      </c>
      <c r="K10" t="s">
        <v>252</v>
      </c>
      <c r="L10" t="s">
        <v>94</v>
      </c>
      <c r="M10">
        <f>36000+13199.99</f>
        <v>49199.99</v>
      </c>
      <c r="N10" t="s">
        <v>214</v>
      </c>
      <c r="O10">
        <f>32232.39+11956.13</f>
        <v>44188.52</v>
      </c>
      <c r="P10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260</v>
      </c>
      <c r="AE10" s="3">
        <v>43281</v>
      </c>
      <c r="AF10" s="3">
        <v>43281</v>
      </c>
      <c r="AG10" s="10" t="s">
        <v>466</v>
      </c>
    </row>
    <row r="11" spans="1:33" x14ac:dyDescent="0.25">
      <c r="A11">
        <v>2018</v>
      </c>
      <c r="B11" s="3">
        <v>43101</v>
      </c>
      <c r="C11" s="3">
        <v>43281</v>
      </c>
      <c r="D11" t="s">
        <v>83</v>
      </c>
      <c r="E11" t="s">
        <v>247</v>
      </c>
      <c r="F11" t="s">
        <v>253</v>
      </c>
      <c r="G11" t="s">
        <v>253</v>
      </c>
      <c r="H11" t="s">
        <v>216</v>
      </c>
      <c r="I11" t="s">
        <v>254</v>
      </c>
      <c r="J11" t="s">
        <v>255</v>
      </c>
      <c r="K11" t="s">
        <v>256</v>
      </c>
      <c r="L11" t="s">
        <v>93</v>
      </c>
      <c r="M11">
        <f>30000+30000</f>
        <v>60000</v>
      </c>
      <c r="N11" t="s">
        <v>214</v>
      </c>
      <c r="O11">
        <f>27309.09+27084.54</f>
        <v>54393.630000000005</v>
      </c>
      <c r="P11" t="s">
        <v>214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260</v>
      </c>
      <c r="AE11" s="3">
        <v>43281</v>
      </c>
      <c r="AF11" s="3">
        <v>43281</v>
      </c>
      <c r="AG11" s="10" t="s">
        <v>466</v>
      </c>
    </row>
    <row r="12" spans="1:33" x14ac:dyDescent="0.25">
      <c r="A12">
        <v>2018</v>
      </c>
      <c r="B12" s="3">
        <v>43101</v>
      </c>
      <c r="C12" s="3">
        <v>43281</v>
      </c>
      <c r="D12" t="s">
        <v>83</v>
      </c>
      <c r="E12" t="s">
        <v>247</v>
      </c>
      <c r="F12" t="s">
        <v>248</v>
      </c>
      <c r="G12" t="s">
        <v>257</v>
      </c>
      <c r="H12" t="s">
        <v>216</v>
      </c>
      <c r="I12" t="s">
        <v>258</v>
      </c>
      <c r="J12" t="s">
        <v>259</v>
      </c>
      <c r="L12" t="s">
        <v>93</v>
      </c>
      <c r="M12">
        <f>51000+51000</f>
        <v>102000</v>
      </c>
      <c r="N12" t="s">
        <v>214</v>
      </c>
      <c r="O12">
        <f>43403.31+43462.26</f>
        <v>86865.57</v>
      </c>
      <c r="P12" t="s">
        <v>214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260</v>
      </c>
      <c r="AE12" s="3">
        <v>43281</v>
      </c>
      <c r="AF12" s="3">
        <v>43281</v>
      </c>
      <c r="AG12" s="10" t="s">
        <v>466</v>
      </c>
    </row>
    <row r="13" spans="1:33" x14ac:dyDescent="0.25">
      <c r="A13">
        <v>2018</v>
      </c>
      <c r="B13" s="3">
        <v>43101</v>
      </c>
      <c r="C13" s="3">
        <v>43281</v>
      </c>
      <c r="D13" t="s">
        <v>83</v>
      </c>
      <c r="E13" t="s">
        <v>247</v>
      </c>
      <c r="F13" t="s">
        <v>261</v>
      </c>
      <c r="G13" t="s">
        <v>262</v>
      </c>
      <c r="H13" t="s">
        <v>216</v>
      </c>
      <c r="I13" t="s">
        <v>263</v>
      </c>
      <c r="J13" t="s">
        <v>264</v>
      </c>
      <c r="K13" t="s">
        <v>265</v>
      </c>
      <c r="L13" t="s">
        <v>94</v>
      </c>
      <c r="M13">
        <f>29000+28666.66</f>
        <v>57666.66</v>
      </c>
      <c r="N13" t="s">
        <v>214</v>
      </c>
      <c r="O13">
        <f>26419.62+25920.87</f>
        <v>52340.49</v>
      </c>
      <c r="P13" t="s">
        <v>214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260</v>
      </c>
      <c r="AE13" s="3">
        <v>43281</v>
      </c>
      <c r="AF13" s="3">
        <v>43281</v>
      </c>
      <c r="AG13" s="10" t="s">
        <v>466</v>
      </c>
    </row>
    <row r="14" spans="1:33" x14ac:dyDescent="0.25">
      <c r="A14">
        <v>2018</v>
      </c>
      <c r="B14" s="3">
        <v>43101</v>
      </c>
      <c r="C14" s="3">
        <v>43281</v>
      </c>
      <c r="D14" t="s">
        <v>83</v>
      </c>
      <c r="E14" t="s">
        <v>247</v>
      </c>
      <c r="F14" t="s">
        <v>266</v>
      </c>
      <c r="G14" t="s">
        <v>266</v>
      </c>
      <c r="H14" t="s">
        <v>216</v>
      </c>
      <c r="I14" t="s">
        <v>267</v>
      </c>
      <c r="J14" t="s">
        <v>268</v>
      </c>
      <c r="K14" t="s">
        <v>269</v>
      </c>
      <c r="L14" t="s">
        <v>93</v>
      </c>
      <c r="M14">
        <f>24340.14+24069.69</f>
        <v>48409.83</v>
      </c>
      <c r="N14" t="s">
        <v>214</v>
      </c>
      <c r="O14">
        <f>23097.51+22736.48</f>
        <v>45833.99</v>
      </c>
      <c r="P14" t="s">
        <v>214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260</v>
      </c>
      <c r="AE14" s="3">
        <v>43281</v>
      </c>
      <c r="AF14" s="3">
        <v>43281</v>
      </c>
      <c r="AG14" s="10" t="s">
        <v>466</v>
      </c>
    </row>
    <row r="15" spans="1:33" x14ac:dyDescent="0.25">
      <c r="A15">
        <v>2018</v>
      </c>
      <c r="B15" s="3">
        <v>43101</v>
      </c>
      <c r="C15" s="3">
        <v>43281</v>
      </c>
      <c r="D15" t="s">
        <v>83</v>
      </c>
      <c r="E15" t="s">
        <v>247</v>
      </c>
      <c r="F15" t="s">
        <v>270</v>
      </c>
      <c r="G15" t="s">
        <v>270</v>
      </c>
      <c r="H15" t="s">
        <v>216</v>
      </c>
      <c r="I15" t="s">
        <v>271</v>
      </c>
      <c r="J15" t="s">
        <v>272</v>
      </c>
      <c r="K15" t="s">
        <v>273</v>
      </c>
      <c r="L15" t="s">
        <v>93</v>
      </c>
      <c r="M15">
        <f>26934.12+26934.12</f>
        <v>53868.24</v>
      </c>
      <c r="N15" t="s">
        <v>214</v>
      </c>
      <c r="O15">
        <f>24618.6+24435.9</f>
        <v>49054.5</v>
      </c>
      <c r="P15" t="s">
        <v>214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260</v>
      </c>
      <c r="AE15" s="3">
        <v>43281</v>
      </c>
      <c r="AF15" s="3">
        <v>43281</v>
      </c>
      <c r="AG15" s="10" t="s">
        <v>466</v>
      </c>
    </row>
    <row r="16" spans="1:33" x14ac:dyDescent="0.25">
      <c r="A16">
        <v>2018</v>
      </c>
      <c r="B16" s="3">
        <v>43101</v>
      </c>
      <c r="C16" s="3">
        <v>43281</v>
      </c>
      <c r="D16" t="s">
        <v>83</v>
      </c>
      <c r="E16" t="s">
        <v>247</v>
      </c>
      <c r="F16" t="s">
        <v>261</v>
      </c>
      <c r="G16" t="s">
        <v>262</v>
      </c>
      <c r="H16" t="s">
        <v>216</v>
      </c>
      <c r="I16" t="s">
        <v>274</v>
      </c>
      <c r="J16" t="s">
        <v>273</v>
      </c>
      <c r="K16" t="s">
        <v>275</v>
      </c>
      <c r="L16" t="s">
        <v>94</v>
      </c>
      <c r="M16">
        <f>22717.46+23799.25</f>
        <v>46516.71</v>
      </c>
      <c r="N16" t="s">
        <v>214</v>
      </c>
      <c r="O16">
        <f>21720.51+22497.87</f>
        <v>44218.38</v>
      </c>
      <c r="P16" t="s">
        <v>214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260</v>
      </c>
      <c r="AE16" s="3">
        <v>43281</v>
      </c>
      <c r="AF16" s="3">
        <v>43281</v>
      </c>
      <c r="AG16" s="10" t="s">
        <v>466</v>
      </c>
    </row>
    <row r="17" spans="1:33" x14ac:dyDescent="0.25">
      <c r="A17">
        <v>2018</v>
      </c>
      <c r="B17" s="3">
        <v>43101</v>
      </c>
      <c r="C17" s="3">
        <v>43281</v>
      </c>
      <c r="D17" t="s">
        <v>83</v>
      </c>
      <c r="E17" t="s">
        <v>247</v>
      </c>
      <c r="F17" t="s">
        <v>276</v>
      </c>
      <c r="G17" t="s">
        <v>276</v>
      </c>
      <c r="H17" t="s">
        <v>216</v>
      </c>
      <c r="I17" t="s">
        <v>277</v>
      </c>
      <c r="J17" t="s">
        <v>278</v>
      </c>
      <c r="K17" t="s">
        <v>279</v>
      </c>
      <c r="L17" t="s">
        <v>93</v>
      </c>
      <c r="M17">
        <f>29666.66+29666.66</f>
        <v>59333.32</v>
      </c>
      <c r="N17" t="s">
        <v>214</v>
      </c>
      <c r="O17">
        <f>27020.19+26799.69</f>
        <v>53819.88</v>
      </c>
      <c r="P17" t="s">
        <v>214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260</v>
      </c>
      <c r="AE17" s="3">
        <v>43281</v>
      </c>
      <c r="AF17" s="3">
        <v>43281</v>
      </c>
      <c r="AG17" s="10" t="s">
        <v>466</v>
      </c>
    </row>
    <row r="18" spans="1:33" x14ac:dyDescent="0.25">
      <c r="A18">
        <v>2018</v>
      </c>
      <c r="B18" s="3">
        <v>43101</v>
      </c>
      <c r="C18" s="3">
        <v>43281</v>
      </c>
      <c r="D18" t="s">
        <v>83</v>
      </c>
      <c r="E18" t="s">
        <v>247</v>
      </c>
      <c r="F18" t="s">
        <v>280</v>
      </c>
      <c r="G18" t="s">
        <v>280</v>
      </c>
      <c r="H18" t="s">
        <v>216</v>
      </c>
      <c r="I18" t="s">
        <v>281</v>
      </c>
      <c r="J18" t="s">
        <v>282</v>
      </c>
      <c r="K18" t="s">
        <v>283</v>
      </c>
      <c r="L18" t="s">
        <v>93</v>
      </c>
      <c r="M18">
        <f>76424.6+68063.7</f>
        <v>144488.29999999999</v>
      </c>
      <c r="N18" t="s">
        <v>214</v>
      </c>
      <c r="O18">
        <f>63527.35+56414.04</f>
        <v>119941.39</v>
      </c>
      <c r="P18" t="s">
        <v>214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260</v>
      </c>
      <c r="AE18" s="3">
        <v>43281</v>
      </c>
      <c r="AF18" s="3">
        <v>43281</v>
      </c>
      <c r="AG18" s="10" t="s">
        <v>466</v>
      </c>
    </row>
    <row r="19" spans="1:33" x14ac:dyDescent="0.25">
      <c r="A19">
        <v>2018</v>
      </c>
      <c r="B19" s="3">
        <v>43101</v>
      </c>
      <c r="C19" s="3">
        <v>43281</v>
      </c>
      <c r="D19" t="s">
        <v>83</v>
      </c>
      <c r="E19" t="s">
        <v>247</v>
      </c>
      <c r="F19" t="s">
        <v>284</v>
      </c>
      <c r="G19" t="s">
        <v>284</v>
      </c>
      <c r="H19" t="s">
        <v>285</v>
      </c>
      <c r="I19" t="s">
        <v>286</v>
      </c>
      <c r="J19" t="s">
        <v>287</v>
      </c>
      <c r="K19" t="s">
        <v>288</v>
      </c>
      <c r="L19" t="s">
        <v>93</v>
      </c>
      <c r="M19">
        <f>23528.8+22987.9</f>
        <v>46516.7</v>
      </c>
      <c r="N19" t="s">
        <v>214</v>
      </c>
      <c r="O19">
        <f>22415.8+21842.73</f>
        <v>44258.53</v>
      </c>
      <c r="P19" t="s">
        <v>214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260</v>
      </c>
      <c r="AE19" s="3">
        <v>43281</v>
      </c>
      <c r="AF19" s="3">
        <v>43281</v>
      </c>
      <c r="AG19" s="10" t="s">
        <v>466</v>
      </c>
    </row>
    <row r="20" spans="1:33" x14ac:dyDescent="0.25">
      <c r="A20">
        <v>2018</v>
      </c>
      <c r="B20" s="3">
        <v>43101</v>
      </c>
      <c r="C20" s="3">
        <v>43281</v>
      </c>
      <c r="D20" t="s">
        <v>83</v>
      </c>
      <c r="E20" t="s">
        <v>247</v>
      </c>
      <c r="F20" t="s">
        <v>289</v>
      </c>
      <c r="G20" t="s">
        <v>289</v>
      </c>
      <c r="H20" t="s">
        <v>216</v>
      </c>
      <c r="I20" t="s">
        <v>290</v>
      </c>
      <c r="J20" t="s">
        <v>291</v>
      </c>
      <c r="K20" t="s">
        <v>292</v>
      </c>
      <c r="L20" t="s">
        <v>93</v>
      </c>
      <c r="M20">
        <f>29666.65+30000</f>
        <v>59666.65</v>
      </c>
      <c r="N20" t="s">
        <v>214</v>
      </c>
      <c r="O20">
        <f>27016.22+27084.54</f>
        <v>54100.76</v>
      </c>
      <c r="P20" t="s">
        <v>214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260</v>
      </c>
      <c r="AE20" s="3">
        <v>43281</v>
      </c>
      <c r="AF20" s="3">
        <v>43281</v>
      </c>
      <c r="AG20" s="10" t="s">
        <v>466</v>
      </c>
    </row>
    <row r="21" spans="1:33" x14ac:dyDescent="0.25">
      <c r="A21">
        <v>2018</v>
      </c>
      <c r="B21" s="3">
        <v>43101</v>
      </c>
      <c r="C21" s="3">
        <v>43281</v>
      </c>
      <c r="D21" t="s">
        <v>83</v>
      </c>
      <c r="E21" t="s">
        <v>247</v>
      </c>
      <c r="F21" t="s">
        <v>242</v>
      </c>
      <c r="G21" t="s">
        <v>242</v>
      </c>
      <c r="H21" t="s">
        <v>216</v>
      </c>
      <c r="I21" t="s">
        <v>293</v>
      </c>
      <c r="J21" t="s">
        <v>294</v>
      </c>
      <c r="K21" t="s">
        <v>295</v>
      </c>
      <c r="L21" t="s">
        <v>93</v>
      </c>
      <c r="M21">
        <f>24340.14+24340.14</f>
        <v>48680.28</v>
      </c>
      <c r="N21" t="s">
        <v>214</v>
      </c>
      <c r="O21">
        <f>23097.51+22954.86</f>
        <v>46052.369999999995</v>
      </c>
      <c r="P21" t="s">
        <v>214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260</v>
      </c>
      <c r="AE21" s="3">
        <v>43281</v>
      </c>
      <c r="AF21" s="3">
        <v>43281</v>
      </c>
      <c r="AG21" s="10" t="s">
        <v>466</v>
      </c>
    </row>
    <row r="22" spans="1:33" x14ac:dyDescent="0.25">
      <c r="A22">
        <v>2018</v>
      </c>
      <c r="B22" s="3">
        <v>43101</v>
      </c>
      <c r="C22" s="3">
        <v>43281</v>
      </c>
      <c r="D22" t="s">
        <v>83</v>
      </c>
      <c r="E22" t="s">
        <v>247</v>
      </c>
      <c r="F22" t="s">
        <v>296</v>
      </c>
      <c r="G22" t="s">
        <v>296</v>
      </c>
      <c r="H22" t="s">
        <v>297</v>
      </c>
      <c r="I22" t="s">
        <v>298</v>
      </c>
      <c r="J22" t="s">
        <v>299</v>
      </c>
      <c r="K22" t="s">
        <v>300</v>
      </c>
      <c r="L22" t="s">
        <v>93</v>
      </c>
      <c r="M22">
        <f>30000+30000</f>
        <v>60000</v>
      </c>
      <c r="N22" t="s">
        <v>214</v>
      </c>
      <c r="O22">
        <f>27299.19+27084.54</f>
        <v>54383.729999999996</v>
      </c>
      <c r="P22" t="s">
        <v>214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260</v>
      </c>
      <c r="AE22" s="3">
        <v>43281</v>
      </c>
      <c r="AF22" s="3">
        <v>43281</v>
      </c>
      <c r="AG22" s="10" t="s">
        <v>466</v>
      </c>
    </row>
    <row r="23" spans="1:33" x14ac:dyDescent="0.25">
      <c r="A23">
        <v>2018</v>
      </c>
      <c r="B23" s="3">
        <v>43101</v>
      </c>
      <c r="C23" s="3">
        <v>43281</v>
      </c>
      <c r="D23" t="s">
        <v>83</v>
      </c>
      <c r="E23" t="s">
        <v>247</v>
      </c>
      <c r="F23" t="s">
        <v>301</v>
      </c>
      <c r="G23" t="s">
        <v>301</v>
      </c>
      <c r="H23" t="s">
        <v>216</v>
      </c>
      <c r="I23" t="s">
        <v>302</v>
      </c>
      <c r="J23" t="s">
        <v>303</v>
      </c>
      <c r="K23" t="s">
        <v>304</v>
      </c>
      <c r="L23" t="s">
        <v>93</v>
      </c>
      <c r="M23">
        <f>36000+35599.99</f>
        <v>71599.989999999991</v>
      </c>
      <c r="N23" t="s">
        <v>214</v>
      </c>
      <c r="O23">
        <f>32243.64+31609.53</f>
        <v>63853.17</v>
      </c>
      <c r="P23" t="s">
        <v>214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260</v>
      </c>
      <c r="AE23" s="3">
        <v>43281</v>
      </c>
      <c r="AF23" s="3">
        <v>43281</v>
      </c>
      <c r="AG23" s="10" t="s">
        <v>466</v>
      </c>
    </row>
    <row r="24" spans="1:33" x14ac:dyDescent="0.25">
      <c r="A24">
        <v>2018</v>
      </c>
      <c r="B24" s="3">
        <v>43101</v>
      </c>
      <c r="C24" s="3">
        <v>43281</v>
      </c>
      <c r="D24" t="s">
        <v>83</v>
      </c>
      <c r="E24" t="s">
        <v>247</v>
      </c>
      <c r="F24" t="s">
        <v>305</v>
      </c>
      <c r="G24" t="s">
        <v>305</v>
      </c>
      <c r="H24" t="s">
        <v>216</v>
      </c>
      <c r="I24" t="s">
        <v>306</v>
      </c>
      <c r="J24" t="s">
        <v>255</v>
      </c>
      <c r="K24" t="s">
        <v>307</v>
      </c>
      <c r="L24" t="s">
        <v>93</v>
      </c>
      <c r="M24">
        <v>28372.65</v>
      </c>
      <c r="N24" t="s">
        <v>214</v>
      </c>
      <c r="O24">
        <v>25288.44</v>
      </c>
      <c r="P24" t="s">
        <v>214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260</v>
      </c>
      <c r="AE24" s="3">
        <v>43281</v>
      </c>
      <c r="AF24" s="3">
        <v>43281</v>
      </c>
      <c r="AG24" s="10" t="s">
        <v>466</v>
      </c>
    </row>
    <row r="25" spans="1:33" x14ac:dyDescent="0.25">
      <c r="A25">
        <v>2018</v>
      </c>
      <c r="B25" s="3">
        <v>43101</v>
      </c>
      <c r="C25" s="3">
        <v>43281</v>
      </c>
      <c r="D25" t="s">
        <v>82</v>
      </c>
      <c r="E25" t="s">
        <v>246</v>
      </c>
      <c r="F25" t="s">
        <v>217</v>
      </c>
      <c r="G25" t="s">
        <v>309</v>
      </c>
      <c r="H25" t="s">
        <v>216</v>
      </c>
      <c r="I25" t="s">
        <v>310</v>
      </c>
      <c r="J25" t="s">
        <v>273</v>
      </c>
      <c r="K25" t="s">
        <v>311</v>
      </c>
      <c r="L25" t="s">
        <v>93</v>
      </c>
      <c r="M25">
        <f>101978.4+101978.4</f>
        <v>203956.8</v>
      </c>
      <c r="N25" t="s">
        <v>214</v>
      </c>
      <c r="O25">
        <f>80408.22+80233.62</f>
        <v>160641.84</v>
      </c>
      <c r="P25" t="s">
        <v>214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260</v>
      </c>
      <c r="AE25" s="3">
        <v>43281</v>
      </c>
      <c r="AF25" s="3">
        <v>43281</v>
      </c>
      <c r="AG25" s="10" t="s">
        <v>466</v>
      </c>
    </row>
    <row r="26" spans="1:33" x14ac:dyDescent="0.25">
      <c r="A26">
        <v>2018</v>
      </c>
      <c r="B26" s="3">
        <v>43101</v>
      </c>
      <c r="C26" s="3">
        <v>43281</v>
      </c>
      <c r="D26" t="s">
        <v>83</v>
      </c>
      <c r="E26" t="s">
        <v>247</v>
      </c>
      <c r="F26" t="s">
        <v>266</v>
      </c>
      <c r="G26" t="s">
        <v>266</v>
      </c>
      <c r="H26" t="s">
        <v>216</v>
      </c>
      <c r="I26" t="s">
        <v>312</v>
      </c>
      <c r="J26" t="s">
        <v>313</v>
      </c>
      <c r="K26" t="s">
        <v>314</v>
      </c>
      <c r="L26" t="s">
        <v>94</v>
      </c>
      <c r="M26">
        <f>25828.02+25254.04</f>
        <v>51082.06</v>
      </c>
      <c r="N26" t="s">
        <v>214</v>
      </c>
      <c r="O26">
        <f>24294.36+23658.44</f>
        <v>47952.800000000003</v>
      </c>
      <c r="P26" t="s">
        <v>214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260</v>
      </c>
      <c r="AE26" s="3">
        <v>43281</v>
      </c>
      <c r="AF26" s="3">
        <v>43281</v>
      </c>
      <c r="AG26" s="10" t="s">
        <v>466</v>
      </c>
    </row>
    <row r="27" spans="1:33" x14ac:dyDescent="0.25">
      <c r="A27">
        <v>2018</v>
      </c>
      <c r="B27" s="3">
        <v>43101</v>
      </c>
      <c r="C27" s="3">
        <v>43281</v>
      </c>
      <c r="D27" t="s">
        <v>83</v>
      </c>
      <c r="E27" t="s">
        <v>247</v>
      </c>
      <c r="F27" t="s">
        <v>289</v>
      </c>
      <c r="G27" t="s">
        <v>289</v>
      </c>
      <c r="H27" t="s">
        <v>216</v>
      </c>
      <c r="I27" t="s">
        <v>315</v>
      </c>
      <c r="J27" t="s">
        <v>316</v>
      </c>
      <c r="K27" t="s">
        <v>317</v>
      </c>
      <c r="L27" t="s">
        <v>93</v>
      </c>
      <c r="M27">
        <f>30000+29666.66</f>
        <v>59666.66</v>
      </c>
      <c r="N27" t="s">
        <v>214</v>
      </c>
      <c r="O27">
        <f>27313.14+26809.42</f>
        <v>54122.559999999998</v>
      </c>
      <c r="P27" t="s">
        <v>214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260</v>
      </c>
      <c r="AE27" s="3">
        <v>43281</v>
      </c>
      <c r="AF27" s="3">
        <v>43281</v>
      </c>
      <c r="AG27" s="10" t="s">
        <v>466</v>
      </c>
    </row>
    <row r="28" spans="1:33" x14ac:dyDescent="0.25">
      <c r="A28">
        <v>2018</v>
      </c>
      <c r="B28" s="3">
        <v>43101</v>
      </c>
      <c r="C28" s="3">
        <v>43281</v>
      </c>
      <c r="D28" t="s">
        <v>83</v>
      </c>
      <c r="E28" t="s">
        <v>247</v>
      </c>
      <c r="F28" t="s">
        <v>305</v>
      </c>
      <c r="G28" t="s">
        <v>305</v>
      </c>
      <c r="H28" t="s">
        <v>216</v>
      </c>
      <c r="I28" t="s">
        <v>318</v>
      </c>
      <c r="J28" t="s">
        <v>319</v>
      </c>
      <c r="K28" t="s">
        <v>320</v>
      </c>
      <c r="L28" t="s">
        <v>93</v>
      </c>
      <c r="M28">
        <f>30000+29333.3</f>
        <v>59333.3</v>
      </c>
      <c r="N28" t="s">
        <v>214</v>
      </c>
      <c r="O28">
        <f>26574.24+25999.84</f>
        <v>52574.080000000002</v>
      </c>
      <c r="P28" t="s">
        <v>214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260</v>
      </c>
      <c r="AE28" s="3">
        <v>43281</v>
      </c>
      <c r="AF28" s="3">
        <v>43281</v>
      </c>
      <c r="AG28" s="10" t="s">
        <v>466</v>
      </c>
    </row>
    <row r="29" spans="1:33" x14ac:dyDescent="0.25">
      <c r="A29">
        <v>2018</v>
      </c>
      <c r="B29" s="3">
        <v>43101</v>
      </c>
      <c r="C29" s="3">
        <v>43281</v>
      </c>
      <c r="D29" t="s">
        <v>83</v>
      </c>
      <c r="E29" t="s">
        <v>247</v>
      </c>
      <c r="F29" t="s">
        <v>261</v>
      </c>
      <c r="G29" t="s">
        <v>262</v>
      </c>
      <c r="H29" t="s">
        <v>216</v>
      </c>
      <c r="I29" t="s">
        <v>321</v>
      </c>
      <c r="J29" t="s">
        <v>322</v>
      </c>
      <c r="K29" t="s">
        <v>323</v>
      </c>
      <c r="L29" t="s">
        <v>94</v>
      </c>
      <c r="M29">
        <f>30000+29000</f>
        <v>59000</v>
      </c>
      <c r="N29" t="s">
        <v>214</v>
      </c>
      <c r="O29">
        <f>27313.14+26213.82</f>
        <v>53526.96</v>
      </c>
      <c r="P29" t="s">
        <v>214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260</v>
      </c>
      <c r="AE29" s="3">
        <v>43281</v>
      </c>
      <c r="AF29" s="3">
        <v>43281</v>
      </c>
      <c r="AG29" s="10" t="s">
        <v>466</v>
      </c>
    </row>
    <row r="30" spans="1:33" x14ac:dyDescent="0.25">
      <c r="A30">
        <v>2018</v>
      </c>
      <c r="B30" s="3">
        <v>43101</v>
      </c>
      <c r="C30" s="3">
        <v>43281</v>
      </c>
      <c r="D30" t="s">
        <v>83</v>
      </c>
      <c r="E30" t="s">
        <v>247</v>
      </c>
      <c r="F30" t="s">
        <v>248</v>
      </c>
      <c r="G30" t="s">
        <v>324</v>
      </c>
      <c r="H30" t="s">
        <v>216</v>
      </c>
      <c r="I30" t="s">
        <v>325</v>
      </c>
      <c r="J30" t="s">
        <v>326</v>
      </c>
      <c r="K30" t="s">
        <v>327</v>
      </c>
      <c r="L30" t="s">
        <v>93</v>
      </c>
      <c r="M30">
        <f>33199.99+32400</f>
        <v>65599.989999999991</v>
      </c>
      <c r="N30" t="s">
        <v>214</v>
      </c>
      <c r="O30">
        <f>29916.87+28946.55</f>
        <v>58863.42</v>
      </c>
      <c r="P30" t="s">
        <v>214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260</v>
      </c>
      <c r="AE30" s="3">
        <v>43281</v>
      </c>
      <c r="AF30" s="3">
        <v>43281</v>
      </c>
      <c r="AG30" s="10" t="s">
        <v>466</v>
      </c>
    </row>
    <row r="31" spans="1:33" x14ac:dyDescent="0.25">
      <c r="A31">
        <v>2018</v>
      </c>
      <c r="B31" s="3">
        <v>43101</v>
      </c>
      <c r="C31" s="3">
        <v>43281</v>
      </c>
      <c r="D31" t="s">
        <v>82</v>
      </c>
      <c r="E31" t="s">
        <v>246</v>
      </c>
      <c r="F31" t="s">
        <v>217</v>
      </c>
      <c r="G31" t="s">
        <v>328</v>
      </c>
      <c r="H31" t="s">
        <v>216</v>
      </c>
      <c r="I31" t="s">
        <v>329</v>
      </c>
      <c r="J31" t="s">
        <v>330</v>
      </c>
      <c r="K31" t="s">
        <v>331</v>
      </c>
      <c r="L31" t="s">
        <v>94</v>
      </c>
      <c r="M31">
        <f>101978.4+101978.4</f>
        <v>203956.8</v>
      </c>
      <c r="N31" t="s">
        <v>214</v>
      </c>
      <c r="O31">
        <f>80408.22+80233.62</f>
        <v>160641.84</v>
      </c>
      <c r="P31" t="s">
        <v>214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260</v>
      </c>
      <c r="AE31" s="3">
        <v>43281</v>
      </c>
      <c r="AF31" s="3">
        <v>43281</v>
      </c>
      <c r="AG31" s="10" t="s">
        <v>466</v>
      </c>
    </row>
    <row r="32" spans="1:33" x14ac:dyDescent="0.25">
      <c r="A32">
        <v>2018</v>
      </c>
      <c r="B32" s="3">
        <v>43101</v>
      </c>
      <c r="C32" s="3">
        <v>43281</v>
      </c>
      <c r="D32" t="s">
        <v>83</v>
      </c>
      <c r="E32" t="s">
        <v>247</v>
      </c>
      <c r="F32" t="s">
        <v>253</v>
      </c>
      <c r="G32" t="s">
        <v>253</v>
      </c>
      <c r="H32" t="s">
        <v>216</v>
      </c>
      <c r="I32" t="s">
        <v>332</v>
      </c>
      <c r="J32" t="s">
        <v>333</v>
      </c>
      <c r="K32" t="s">
        <v>334</v>
      </c>
      <c r="L32" t="s">
        <v>93</v>
      </c>
      <c r="M32">
        <f>26189.64+26189.64</f>
        <v>52379.28</v>
      </c>
      <c r="N32" t="s">
        <v>214</v>
      </c>
      <c r="O32">
        <f>24610.77+24439.32</f>
        <v>49050.09</v>
      </c>
      <c r="P32" t="s">
        <v>214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260</v>
      </c>
      <c r="AE32" s="3">
        <v>43281</v>
      </c>
      <c r="AF32" s="3">
        <v>43281</v>
      </c>
      <c r="AG32" s="10" t="s">
        <v>466</v>
      </c>
    </row>
    <row r="33" spans="1:33" x14ac:dyDescent="0.25">
      <c r="A33">
        <v>2018</v>
      </c>
      <c r="B33" s="3">
        <v>43101</v>
      </c>
      <c r="C33" s="3">
        <v>43281</v>
      </c>
      <c r="D33" t="s">
        <v>83</v>
      </c>
      <c r="E33" t="s">
        <v>247</v>
      </c>
      <c r="F33" t="s">
        <v>248</v>
      </c>
      <c r="G33" t="s">
        <v>335</v>
      </c>
      <c r="H33" t="s">
        <v>216</v>
      </c>
      <c r="I33" t="s">
        <v>336</v>
      </c>
      <c r="J33" t="s">
        <v>337</v>
      </c>
      <c r="K33" t="s">
        <v>338</v>
      </c>
      <c r="L33" t="s">
        <v>94</v>
      </c>
      <c r="M33">
        <f>36000+36000</f>
        <v>72000</v>
      </c>
      <c r="N33" t="s">
        <v>214</v>
      </c>
      <c r="O33">
        <f>32242.29+31934.04</f>
        <v>64176.33</v>
      </c>
      <c r="P33" t="s">
        <v>214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260</v>
      </c>
      <c r="AE33" s="3">
        <v>43281</v>
      </c>
      <c r="AF33" s="3">
        <v>43281</v>
      </c>
      <c r="AG33" s="10" t="s">
        <v>466</v>
      </c>
    </row>
    <row r="34" spans="1:33" x14ac:dyDescent="0.25">
      <c r="A34">
        <v>2018</v>
      </c>
      <c r="B34" s="3">
        <v>43101</v>
      </c>
      <c r="C34" s="3">
        <v>43281</v>
      </c>
      <c r="D34" t="s">
        <v>83</v>
      </c>
      <c r="E34" t="s">
        <v>247</v>
      </c>
      <c r="F34" t="s">
        <v>457</v>
      </c>
      <c r="G34" t="s">
        <v>339</v>
      </c>
      <c r="H34" t="s">
        <v>285</v>
      </c>
      <c r="I34" t="s">
        <v>340</v>
      </c>
      <c r="J34" t="s">
        <v>341</v>
      </c>
      <c r="K34" t="s">
        <v>342</v>
      </c>
      <c r="L34" t="s">
        <v>93</v>
      </c>
      <c r="M34">
        <f>36000+50646.6</f>
        <v>86646.6</v>
      </c>
      <c r="N34" t="s">
        <v>214</v>
      </c>
      <c r="O34">
        <f>32242.74+42569.84</f>
        <v>74812.58</v>
      </c>
      <c r="P34" t="s">
        <v>214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260</v>
      </c>
      <c r="AE34" s="3">
        <v>43281</v>
      </c>
      <c r="AF34" s="3">
        <v>43281</v>
      </c>
      <c r="AG34" s="10" t="s">
        <v>466</v>
      </c>
    </row>
    <row r="35" spans="1:33" x14ac:dyDescent="0.25">
      <c r="A35">
        <v>2018</v>
      </c>
      <c r="B35" s="3">
        <v>43101</v>
      </c>
      <c r="C35" s="3">
        <v>43281</v>
      </c>
      <c r="D35" t="s">
        <v>83</v>
      </c>
      <c r="E35" t="s">
        <v>247</v>
      </c>
      <c r="F35" t="s">
        <v>343</v>
      </c>
      <c r="G35" t="s">
        <v>343</v>
      </c>
      <c r="H35" t="s">
        <v>285</v>
      </c>
      <c r="I35" t="s">
        <v>344</v>
      </c>
      <c r="J35" t="s">
        <v>287</v>
      </c>
      <c r="K35" t="s">
        <v>322</v>
      </c>
      <c r="L35" t="s">
        <v>94</v>
      </c>
      <c r="M35">
        <v>22991.54</v>
      </c>
      <c r="N35" t="s">
        <v>214</v>
      </c>
      <c r="O35">
        <v>22370.94</v>
      </c>
      <c r="P35" t="s">
        <v>214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260</v>
      </c>
      <c r="AE35" s="3">
        <v>43281</v>
      </c>
      <c r="AF35" s="3">
        <v>43281</v>
      </c>
      <c r="AG35" s="10" t="s">
        <v>466</v>
      </c>
    </row>
    <row r="36" spans="1:33" x14ac:dyDescent="0.25">
      <c r="A36">
        <v>2018</v>
      </c>
      <c r="B36" s="3">
        <v>43101</v>
      </c>
      <c r="C36" s="3">
        <v>43281</v>
      </c>
      <c r="D36" t="s">
        <v>83</v>
      </c>
      <c r="E36" t="s">
        <v>247</v>
      </c>
      <c r="F36" t="s">
        <v>289</v>
      </c>
      <c r="G36" t="s">
        <v>289</v>
      </c>
      <c r="H36" t="s">
        <v>216</v>
      </c>
      <c r="I36" t="s">
        <v>345</v>
      </c>
      <c r="J36" t="s">
        <v>294</v>
      </c>
      <c r="K36" t="s">
        <v>346</v>
      </c>
      <c r="L36" t="s">
        <v>94</v>
      </c>
      <c r="M36">
        <f>24340.14+24069.69</f>
        <v>48409.83</v>
      </c>
      <c r="N36" t="s">
        <v>214</v>
      </c>
      <c r="O36">
        <f>23097.51+22736.48</f>
        <v>45833.99</v>
      </c>
      <c r="P36" t="s">
        <v>214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260</v>
      </c>
      <c r="AE36" s="3">
        <v>43281</v>
      </c>
      <c r="AF36" s="3">
        <v>43281</v>
      </c>
      <c r="AG36" s="10" t="s">
        <v>466</v>
      </c>
    </row>
    <row r="37" spans="1:33" x14ac:dyDescent="0.25">
      <c r="A37">
        <v>2018</v>
      </c>
      <c r="B37" s="3">
        <v>43101</v>
      </c>
      <c r="C37" s="3">
        <v>43281</v>
      </c>
      <c r="D37" t="s">
        <v>83</v>
      </c>
      <c r="E37" t="s">
        <v>247</v>
      </c>
      <c r="F37" t="s">
        <v>253</v>
      </c>
      <c r="G37" t="s">
        <v>253</v>
      </c>
      <c r="H37" t="s">
        <v>216</v>
      </c>
      <c r="I37" t="s">
        <v>347</v>
      </c>
      <c r="J37" t="s">
        <v>294</v>
      </c>
      <c r="K37" t="s">
        <v>348</v>
      </c>
      <c r="L37" t="s">
        <v>93</v>
      </c>
      <c r="M37">
        <f>25828.02+25541.03</f>
        <v>51369.05</v>
      </c>
      <c r="N37" t="s">
        <v>214</v>
      </c>
      <c r="O37">
        <f>24294.36+23893.6</f>
        <v>48187.96</v>
      </c>
      <c r="P37" t="s">
        <v>214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260</v>
      </c>
      <c r="AE37" s="3">
        <v>43281</v>
      </c>
      <c r="AF37" s="3">
        <v>43281</v>
      </c>
      <c r="AG37" s="10" t="s">
        <v>466</v>
      </c>
    </row>
    <row r="38" spans="1:33" x14ac:dyDescent="0.25">
      <c r="A38">
        <v>2018</v>
      </c>
      <c r="B38" s="3">
        <v>43101</v>
      </c>
      <c r="C38" s="3">
        <v>43281</v>
      </c>
      <c r="D38" t="s">
        <v>83</v>
      </c>
      <c r="E38" t="s">
        <v>247</v>
      </c>
      <c r="F38" t="s">
        <v>349</v>
      </c>
      <c r="G38" t="s">
        <v>349</v>
      </c>
      <c r="H38" t="s">
        <v>216</v>
      </c>
      <c r="I38" t="s">
        <v>350</v>
      </c>
      <c r="J38" t="s">
        <v>351</v>
      </c>
      <c r="K38" t="s">
        <v>352</v>
      </c>
      <c r="L38" t="s">
        <v>93</v>
      </c>
      <c r="M38">
        <v>18355.810000000001</v>
      </c>
      <c r="N38" t="s">
        <v>214</v>
      </c>
      <c r="O38">
        <v>17837.02</v>
      </c>
      <c r="P38" t="s">
        <v>214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260</v>
      </c>
      <c r="AE38" s="3">
        <v>43281</v>
      </c>
      <c r="AF38" s="3">
        <v>43281</v>
      </c>
      <c r="AG38" s="10" t="s">
        <v>466</v>
      </c>
    </row>
    <row r="39" spans="1:33" x14ac:dyDescent="0.25">
      <c r="A39">
        <v>2018</v>
      </c>
      <c r="B39" s="3">
        <v>43101</v>
      </c>
      <c r="C39" s="3">
        <v>43281</v>
      </c>
      <c r="D39" t="s">
        <v>83</v>
      </c>
      <c r="E39" t="s">
        <v>247</v>
      </c>
      <c r="F39" t="s">
        <v>289</v>
      </c>
      <c r="G39" t="s">
        <v>289</v>
      </c>
      <c r="H39" t="s">
        <v>216</v>
      </c>
      <c r="I39" t="s">
        <v>353</v>
      </c>
      <c r="J39" t="s">
        <v>354</v>
      </c>
      <c r="K39" t="s">
        <v>355</v>
      </c>
      <c r="L39" t="s">
        <v>94</v>
      </c>
      <c r="M39">
        <f>23528.81+24069.69</f>
        <v>47598.5</v>
      </c>
      <c r="N39" t="s">
        <v>214</v>
      </c>
      <c r="O39">
        <f>22400.51+22736.48</f>
        <v>45136.99</v>
      </c>
      <c r="P39" t="s">
        <v>214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260</v>
      </c>
      <c r="AE39" s="3">
        <v>43281</v>
      </c>
      <c r="AF39" s="3">
        <v>43281</v>
      </c>
      <c r="AG39" s="10" t="s">
        <v>466</v>
      </c>
    </row>
    <row r="40" spans="1:33" x14ac:dyDescent="0.25">
      <c r="A40">
        <v>2018</v>
      </c>
      <c r="B40" s="3">
        <v>43101</v>
      </c>
      <c r="C40" s="3">
        <v>43281</v>
      </c>
      <c r="D40" t="s">
        <v>83</v>
      </c>
      <c r="E40" t="s">
        <v>247</v>
      </c>
      <c r="F40" t="s">
        <v>289</v>
      </c>
      <c r="G40" t="s">
        <v>289</v>
      </c>
      <c r="H40" t="s">
        <v>216</v>
      </c>
      <c r="I40" t="s">
        <v>356</v>
      </c>
      <c r="J40" t="s">
        <v>357</v>
      </c>
      <c r="K40" t="s">
        <v>358</v>
      </c>
      <c r="L40" t="s">
        <v>93</v>
      </c>
      <c r="M40">
        <v>12203.26</v>
      </c>
      <c r="N40" t="s">
        <v>214</v>
      </c>
      <c r="O40">
        <v>11833.86</v>
      </c>
      <c r="P40" t="s">
        <v>214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260</v>
      </c>
      <c r="AE40" s="3">
        <v>43281</v>
      </c>
      <c r="AF40" s="3">
        <v>43281</v>
      </c>
      <c r="AG40" s="10" t="s">
        <v>466</v>
      </c>
    </row>
    <row r="41" spans="1:33" x14ac:dyDescent="0.25">
      <c r="A41">
        <v>2018</v>
      </c>
      <c r="B41" s="3">
        <v>43101</v>
      </c>
      <c r="C41" s="3">
        <v>43281</v>
      </c>
      <c r="D41" t="s">
        <v>83</v>
      </c>
      <c r="E41" t="s">
        <v>247</v>
      </c>
      <c r="F41" t="s">
        <v>266</v>
      </c>
      <c r="G41" t="s">
        <v>266</v>
      </c>
      <c r="H41" t="s">
        <v>285</v>
      </c>
      <c r="I41" t="s">
        <v>359</v>
      </c>
      <c r="J41" t="s">
        <v>311</v>
      </c>
      <c r="K41" t="s">
        <v>360</v>
      </c>
      <c r="L41" t="s">
        <v>94</v>
      </c>
      <c r="M41">
        <f>23528.79+21635.68</f>
        <v>45164.47</v>
      </c>
      <c r="N41" t="s">
        <v>214</v>
      </c>
      <c r="O41">
        <f>22436.03+20705.14</f>
        <v>43141.17</v>
      </c>
      <c r="P41" t="s">
        <v>214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260</v>
      </c>
      <c r="AE41" s="3">
        <v>43281</v>
      </c>
      <c r="AF41" s="3">
        <v>43281</v>
      </c>
      <c r="AG41" s="10" t="s">
        <v>466</v>
      </c>
    </row>
    <row r="42" spans="1:33" x14ac:dyDescent="0.25">
      <c r="A42">
        <v>2018</v>
      </c>
      <c r="B42" s="3">
        <v>43101</v>
      </c>
      <c r="C42" s="3">
        <v>43281</v>
      </c>
      <c r="D42" t="s">
        <v>83</v>
      </c>
      <c r="E42" t="s">
        <v>247</v>
      </c>
      <c r="F42" t="s">
        <v>361</v>
      </c>
      <c r="G42" t="s">
        <v>361</v>
      </c>
      <c r="H42" t="s">
        <v>216</v>
      </c>
      <c r="I42" t="s">
        <v>362</v>
      </c>
      <c r="J42" t="s">
        <v>255</v>
      </c>
      <c r="K42" t="s">
        <v>220</v>
      </c>
      <c r="L42" t="s">
        <v>93</v>
      </c>
      <c r="M42">
        <f>24069.69+23799.24</f>
        <v>47868.93</v>
      </c>
      <c r="N42" t="s">
        <v>214</v>
      </c>
      <c r="O42">
        <f>22879.13+22518.1</f>
        <v>45397.229999999996</v>
      </c>
      <c r="P42" t="s">
        <v>214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260</v>
      </c>
      <c r="AE42" s="3">
        <v>43281</v>
      </c>
      <c r="AF42" s="3">
        <v>43281</v>
      </c>
      <c r="AG42" s="10" t="s">
        <v>466</v>
      </c>
    </row>
    <row r="43" spans="1:33" x14ac:dyDescent="0.25">
      <c r="A43">
        <v>2018</v>
      </c>
      <c r="B43" s="3">
        <v>43101</v>
      </c>
      <c r="C43" s="3">
        <v>43281</v>
      </c>
      <c r="D43" t="s">
        <v>83</v>
      </c>
      <c r="E43" t="s">
        <v>247</v>
      </c>
      <c r="F43" t="s">
        <v>363</v>
      </c>
      <c r="G43" t="s">
        <v>363</v>
      </c>
      <c r="H43" t="s">
        <v>364</v>
      </c>
      <c r="I43" t="s">
        <v>365</v>
      </c>
      <c r="J43" t="s">
        <v>366</v>
      </c>
      <c r="K43" t="s">
        <v>264</v>
      </c>
      <c r="L43" t="s">
        <v>93</v>
      </c>
      <c r="M43">
        <f>24340.14+24340.14</f>
        <v>48680.28</v>
      </c>
      <c r="N43" t="s">
        <v>214</v>
      </c>
      <c r="O43">
        <f>23097.51+22954.86</f>
        <v>46052.369999999995</v>
      </c>
      <c r="P43" t="s">
        <v>214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260</v>
      </c>
      <c r="AE43" s="3">
        <v>43281</v>
      </c>
      <c r="AF43" s="3">
        <v>43281</v>
      </c>
      <c r="AG43" s="10" t="s">
        <v>466</v>
      </c>
    </row>
    <row r="44" spans="1:33" x14ac:dyDescent="0.25">
      <c r="A44">
        <v>2018</v>
      </c>
      <c r="B44" s="3">
        <v>43101</v>
      </c>
      <c r="C44" s="3">
        <v>43281</v>
      </c>
      <c r="D44" t="s">
        <v>83</v>
      </c>
      <c r="E44" t="s">
        <v>247</v>
      </c>
      <c r="F44" t="s">
        <v>367</v>
      </c>
      <c r="G44" t="s">
        <v>367</v>
      </c>
      <c r="H44" t="s">
        <v>216</v>
      </c>
      <c r="I44" t="s">
        <v>368</v>
      </c>
      <c r="J44" t="s">
        <v>255</v>
      </c>
      <c r="K44" t="s">
        <v>299</v>
      </c>
      <c r="L44" t="s">
        <v>93</v>
      </c>
      <c r="M44">
        <f>29666.66+26666.67</f>
        <v>56333.33</v>
      </c>
      <c r="N44" t="s">
        <v>214</v>
      </c>
      <c r="O44">
        <f>27015.35+24424.91</f>
        <v>51440.259999999995</v>
      </c>
      <c r="P44" t="s">
        <v>214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260</v>
      </c>
      <c r="AE44" s="3">
        <v>43281</v>
      </c>
      <c r="AF44" s="3">
        <v>43281</v>
      </c>
      <c r="AG44" s="10" t="s">
        <v>466</v>
      </c>
    </row>
    <row r="45" spans="1:33" x14ac:dyDescent="0.25">
      <c r="A45">
        <v>2018</v>
      </c>
      <c r="B45" s="3">
        <v>43101</v>
      </c>
      <c r="C45" s="3">
        <v>43281</v>
      </c>
      <c r="D45" t="s">
        <v>83</v>
      </c>
      <c r="E45" t="s">
        <v>247</v>
      </c>
      <c r="F45" t="s">
        <v>363</v>
      </c>
      <c r="G45" t="s">
        <v>369</v>
      </c>
      <c r="H45" t="s">
        <v>297</v>
      </c>
      <c r="I45" t="s">
        <v>370</v>
      </c>
      <c r="J45" t="s">
        <v>371</v>
      </c>
      <c r="K45" t="s">
        <v>372</v>
      </c>
      <c r="L45" t="s">
        <v>94</v>
      </c>
      <c r="M45">
        <f>30000+30000</f>
        <v>60000</v>
      </c>
      <c r="N45" t="s">
        <v>214</v>
      </c>
      <c r="O45">
        <f>27308.19+27082.74</f>
        <v>54390.93</v>
      </c>
      <c r="P45" t="s">
        <v>214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260</v>
      </c>
      <c r="AE45" s="3">
        <v>43281</v>
      </c>
      <c r="AF45" s="3">
        <v>43281</v>
      </c>
      <c r="AG45" s="10" t="s">
        <v>466</v>
      </c>
    </row>
    <row r="46" spans="1:33" x14ac:dyDescent="0.25">
      <c r="A46">
        <v>2018</v>
      </c>
      <c r="B46" s="3">
        <v>43101</v>
      </c>
      <c r="C46" s="3">
        <v>43281</v>
      </c>
      <c r="D46" t="s">
        <v>83</v>
      </c>
      <c r="E46" t="s">
        <v>247</v>
      </c>
      <c r="F46" t="s">
        <v>343</v>
      </c>
      <c r="G46" t="s">
        <v>343</v>
      </c>
      <c r="H46" t="s">
        <v>216</v>
      </c>
      <c r="I46" t="s">
        <v>373</v>
      </c>
      <c r="J46" t="s">
        <v>264</v>
      </c>
      <c r="K46" t="s">
        <v>374</v>
      </c>
      <c r="L46" t="s">
        <v>94</v>
      </c>
      <c r="M46">
        <f>24340.14+24340.14</f>
        <v>48680.28</v>
      </c>
      <c r="N46" t="s">
        <v>214</v>
      </c>
      <c r="O46">
        <f>23097.51+22954.86</f>
        <v>46052.369999999995</v>
      </c>
      <c r="P46" t="s">
        <v>214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260</v>
      </c>
      <c r="AE46" s="3">
        <v>43281</v>
      </c>
      <c r="AF46" s="3">
        <v>43281</v>
      </c>
      <c r="AG46" s="10" t="s">
        <v>466</v>
      </c>
    </row>
    <row r="47" spans="1:33" x14ac:dyDescent="0.25">
      <c r="A47">
        <v>2018</v>
      </c>
      <c r="B47" s="3">
        <v>43101</v>
      </c>
      <c r="C47" s="3">
        <v>43281</v>
      </c>
      <c r="D47" t="s">
        <v>83</v>
      </c>
      <c r="E47" t="s">
        <v>247</v>
      </c>
      <c r="F47" t="s">
        <v>343</v>
      </c>
      <c r="G47" t="s">
        <v>343</v>
      </c>
      <c r="H47" t="s">
        <v>216</v>
      </c>
      <c r="I47" t="s">
        <v>375</v>
      </c>
      <c r="J47" t="s">
        <v>264</v>
      </c>
      <c r="K47" t="s">
        <v>376</v>
      </c>
      <c r="L47" t="s">
        <v>94</v>
      </c>
      <c r="M47">
        <f>24340.14+24340.14</f>
        <v>48680.28</v>
      </c>
      <c r="N47" t="s">
        <v>214</v>
      </c>
      <c r="O47">
        <f>23097.51+22954.86</f>
        <v>46052.369999999995</v>
      </c>
      <c r="P47" t="s">
        <v>214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260</v>
      </c>
      <c r="AE47" s="3">
        <v>43281</v>
      </c>
      <c r="AF47" s="3">
        <v>43281</v>
      </c>
      <c r="AG47" s="10" t="s">
        <v>466</v>
      </c>
    </row>
    <row r="48" spans="1:33" x14ac:dyDescent="0.25">
      <c r="A48">
        <v>2018</v>
      </c>
      <c r="B48" s="3">
        <v>43101</v>
      </c>
      <c r="C48" s="3">
        <v>43281</v>
      </c>
      <c r="D48" t="s">
        <v>83</v>
      </c>
      <c r="E48" t="s">
        <v>247</v>
      </c>
      <c r="F48" t="s">
        <v>266</v>
      </c>
      <c r="G48" t="s">
        <v>266</v>
      </c>
      <c r="H48" t="s">
        <v>216</v>
      </c>
      <c r="I48" t="s">
        <v>377</v>
      </c>
      <c r="J48" t="s">
        <v>378</v>
      </c>
      <c r="K48" t="s">
        <v>379</v>
      </c>
      <c r="L48" t="s">
        <v>93</v>
      </c>
      <c r="M48">
        <f>24340.14+24340.14</f>
        <v>48680.28</v>
      </c>
      <c r="N48" t="s">
        <v>214</v>
      </c>
      <c r="O48">
        <f>23097.51+22954.86</f>
        <v>46052.369999999995</v>
      </c>
      <c r="P48" t="s">
        <v>214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260</v>
      </c>
      <c r="AE48" s="3">
        <v>43281</v>
      </c>
      <c r="AF48" s="3">
        <v>43281</v>
      </c>
      <c r="AG48" s="10" t="s">
        <v>466</v>
      </c>
    </row>
    <row r="49" spans="1:33" x14ac:dyDescent="0.25">
      <c r="A49">
        <v>2018</v>
      </c>
      <c r="B49" s="3">
        <v>43101</v>
      </c>
      <c r="C49" s="3">
        <v>43281</v>
      </c>
      <c r="D49" t="s">
        <v>83</v>
      </c>
      <c r="E49" t="s">
        <v>247</v>
      </c>
      <c r="F49" t="s">
        <v>289</v>
      </c>
      <c r="G49" t="s">
        <v>289</v>
      </c>
      <c r="H49" t="s">
        <v>216</v>
      </c>
      <c r="I49" t="s">
        <v>380</v>
      </c>
      <c r="J49" t="s">
        <v>382</v>
      </c>
      <c r="K49" t="s">
        <v>381</v>
      </c>
      <c r="L49" t="s">
        <v>94</v>
      </c>
      <c r="M49">
        <f>23528.8+22987.9</f>
        <v>46516.7</v>
      </c>
      <c r="N49" t="s">
        <v>214</v>
      </c>
      <c r="O49">
        <f>22418.97+21842.73</f>
        <v>44261.7</v>
      </c>
      <c r="P49" t="s">
        <v>214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260</v>
      </c>
      <c r="AE49" s="3">
        <v>43281</v>
      </c>
      <c r="AF49" s="3">
        <v>43281</v>
      </c>
      <c r="AG49" s="10" t="s">
        <v>466</v>
      </c>
    </row>
    <row r="50" spans="1:33" x14ac:dyDescent="0.25">
      <c r="A50">
        <v>2018</v>
      </c>
      <c r="B50" s="3">
        <v>43101</v>
      </c>
      <c r="C50" s="3">
        <v>43281</v>
      </c>
      <c r="D50" t="s">
        <v>83</v>
      </c>
      <c r="E50" t="s">
        <v>247</v>
      </c>
      <c r="F50" t="s">
        <v>383</v>
      </c>
      <c r="G50" t="s">
        <v>383</v>
      </c>
      <c r="H50" t="s">
        <v>285</v>
      </c>
      <c r="I50" t="s">
        <v>384</v>
      </c>
      <c r="J50" t="s">
        <v>385</v>
      </c>
      <c r="K50" t="s">
        <v>386</v>
      </c>
      <c r="L50" t="s">
        <v>94</v>
      </c>
      <c r="M50">
        <f>24340.14+24340.14</f>
        <v>48680.28</v>
      </c>
      <c r="N50" t="s">
        <v>214</v>
      </c>
      <c r="O50">
        <f>23097.51+22954.86</f>
        <v>46052.369999999995</v>
      </c>
      <c r="P50" t="s">
        <v>214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260</v>
      </c>
      <c r="AE50" s="3">
        <v>43281</v>
      </c>
      <c r="AF50" s="3">
        <v>43281</v>
      </c>
      <c r="AG50" s="10" t="s">
        <v>466</v>
      </c>
    </row>
    <row r="51" spans="1:33" x14ac:dyDescent="0.25">
      <c r="A51">
        <v>2018</v>
      </c>
      <c r="B51" s="3">
        <v>43101</v>
      </c>
      <c r="C51" s="3">
        <v>43281</v>
      </c>
      <c r="D51" t="s">
        <v>83</v>
      </c>
      <c r="E51" t="s">
        <v>247</v>
      </c>
      <c r="F51" t="s">
        <v>248</v>
      </c>
      <c r="G51" t="s">
        <v>387</v>
      </c>
      <c r="H51" t="s">
        <v>216</v>
      </c>
      <c r="I51" t="s">
        <v>388</v>
      </c>
      <c r="J51" t="s">
        <v>389</v>
      </c>
      <c r="K51" t="s">
        <v>390</v>
      </c>
      <c r="L51" t="s">
        <v>94</v>
      </c>
      <c r="M51">
        <f>42000+42000</f>
        <v>84000</v>
      </c>
      <c r="N51" t="s">
        <v>214</v>
      </c>
      <c r="O51">
        <f>36449.01+36631.26</f>
        <v>73080.27</v>
      </c>
      <c r="P51" t="s">
        <v>214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260</v>
      </c>
      <c r="AE51" s="3">
        <v>43281</v>
      </c>
      <c r="AF51" s="3">
        <v>43281</v>
      </c>
      <c r="AG51" s="10" t="s">
        <v>466</v>
      </c>
    </row>
    <row r="52" spans="1:33" x14ac:dyDescent="0.25">
      <c r="A52">
        <v>2018</v>
      </c>
      <c r="B52" s="3">
        <v>43101</v>
      </c>
      <c r="C52" s="3">
        <v>43281</v>
      </c>
      <c r="D52" t="s">
        <v>82</v>
      </c>
      <c r="E52" t="s">
        <v>246</v>
      </c>
      <c r="F52" t="s">
        <v>217</v>
      </c>
      <c r="G52" t="s">
        <v>391</v>
      </c>
      <c r="H52" t="s">
        <v>216</v>
      </c>
      <c r="I52" t="s">
        <v>392</v>
      </c>
      <c r="J52" t="s">
        <v>393</v>
      </c>
      <c r="K52" t="s">
        <v>394</v>
      </c>
      <c r="L52" t="s">
        <v>94</v>
      </c>
      <c r="M52">
        <v>144660.32</v>
      </c>
      <c r="N52" t="s">
        <v>214</v>
      </c>
      <c r="O52">
        <v>111500.54</v>
      </c>
      <c r="P52" t="s">
        <v>214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260</v>
      </c>
      <c r="AE52" s="3">
        <v>43281</v>
      </c>
      <c r="AF52" s="3">
        <v>43281</v>
      </c>
      <c r="AG52" s="10" t="s">
        <v>466</v>
      </c>
    </row>
    <row r="53" spans="1:33" x14ac:dyDescent="0.25">
      <c r="A53">
        <v>2018</v>
      </c>
      <c r="B53" s="3">
        <v>43101</v>
      </c>
      <c r="C53" s="3">
        <v>43281</v>
      </c>
      <c r="D53" t="s">
        <v>83</v>
      </c>
      <c r="E53" t="s">
        <v>247</v>
      </c>
      <c r="F53" t="s">
        <v>284</v>
      </c>
      <c r="G53" t="s">
        <v>284</v>
      </c>
      <c r="H53" t="s">
        <v>285</v>
      </c>
      <c r="I53" t="s">
        <v>395</v>
      </c>
      <c r="J53" t="s">
        <v>338</v>
      </c>
      <c r="K53" t="s">
        <v>330</v>
      </c>
      <c r="L53" t="s">
        <v>93</v>
      </c>
      <c r="M53">
        <f>23528.79+22717.46</f>
        <v>46246.25</v>
      </c>
      <c r="N53" t="s">
        <v>214</v>
      </c>
      <c r="O53">
        <f>22439.2+21619.12</f>
        <v>44058.32</v>
      </c>
      <c r="P53" t="s">
        <v>214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260</v>
      </c>
      <c r="AE53" s="3">
        <v>43281</v>
      </c>
      <c r="AF53" s="3">
        <v>43281</v>
      </c>
      <c r="AG53" s="10" t="s">
        <v>466</v>
      </c>
    </row>
    <row r="54" spans="1:33" x14ac:dyDescent="0.25">
      <c r="A54">
        <v>2018</v>
      </c>
      <c r="B54" s="3">
        <v>43101</v>
      </c>
      <c r="C54" s="3">
        <v>43281</v>
      </c>
      <c r="D54" t="s">
        <v>83</v>
      </c>
      <c r="E54" t="s">
        <v>247</v>
      </c>
      <c r="F54" t="s">
        <v>270</v>
      </c>
      <c r="G54" t="s">
        <v>270</v>
      </c>
      <c r="H54" t="s">
        <v>216</v>
      </c>
      <c r="I54" t="s">
        <v>396</v>
      </c>
      <c r="J54" t="s">
        <v>397</v>
      </c>
      <c r="K54" t="s">
        <v>398</v>
      </c>
      <c r="L54" t="s">
        <v>93</v>
      </c>
      <c r="M54">
        <f>24340.14+24340.14</f>
        <v>48680.28</v>
      </c>
      <c r="N54" t="s">
        <v>214</v>
      </c>
      <c r="O54">
        <f>23097.51+22954.86</f>
        <v>46052.369999999995</v>
      </c>
      <c r="P54" t="s">
        <v>214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260</v>
      </c>
      <c r="AE54" s="3">
        <v>43281</v>
      </c>
      <c r="AF54" s="3">
        <v>43281</v>
      </c>
      <c r="AG54" s="10" t="s">
        <v>466</v>
      </c>
    </row>
    <row r="55" spans="1:33" x14ac:dyDescent="0.25">
      <c r="A55">
        <v>2018</v>
      </c>
      <c r="B55" s="3">
        <v>43101</v>
      </c>
      <c r="C55" s="3">
        <v>43281</v>
      </c>
      <c r="D55" t="s">
        <v>82</v>
      </c>
      <c r="E55" t="s">
        <v>246</v>
      </c>
      <c r="F55" t="s">
        <v>399</v>
      </c>
      <c r="G55" t="s">
        <v>399</v>
      </c>
      <c r="H55" t="s">
        <v>216</v>
      </c>
      <c r="I55" t="s">
        <v>400</v>
      </c>
      <c r="J55" t="s">
        <v>388</v>
      </c>
      <c r="K55" t="s">
        <v>401</v>
      </c>
      <c r="L55" t="s">
        <v>94</v>
      </c>
      <c r="M55">
        <f>109893+106596.86</f>
        <v>216489.86</v>
      </c>
      <c r="N55" t="s">
        <v>214</v>
      </c>
      <c r="O55">
        <f>84317.65+80000.12</f>
        <v>164317.76999999999</v>
      </c>
      <c r="P55" t="s">
        <v>214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260</v>
      </c>
      <c r="AE55" s="3">
        <v>43281</v>
      </c>
      <c r="AF55" s="3">
        <v>43281</v>
      </c>
      <c r="AG55" s="10" t="s">
        <v>466</v>
      </c>
    </row>
    <row r="56" spans="1:33" x14ac:dyDescent="0.25">
      <c r="A56">
        <v>2018</v>
      </c>
      <c r="B56" s="3">
        <v>43101</v>
      </c>
      <c r="C56" s="3">
        <v>43281</v>
      </c>
      <c r="D56" t="s">
        <v>82</v>
      </c>
      <c r="E56" t="s">
        <v>246</v>
      </c>
      <c r="F56" t="s">
        <v>402</v>
      </c>
      <c r="G56" t="s">
        <v>403</v>
      </c>
      <c r="H56" t="s">
        <v>216</v>
      </c>
      <c r="I56" t="s">
        <v>404</v>
      </c>
      <c r="J56" t="s">
        <v>405</v>
      </c>
      <c r="K56" t="s">
        <v>406</v>
      </c>
      <c r="L56" t="s">
        <v>94</v>
      </c>
      <c r="M56">
        <f>82339.8+153114.53</f>
        <v>235454.33000000002</v>
      </c>
      <c r="N56" t="s">
        <v>214</v>
      </c>
      <c r="O56">
        <f>66294.96+118207.67</f>
        <v>184502.63</v>
      </c>
      <c r="P56" t="s">
        <v>214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260</v>
      </c>
      <c r="AE56" s="3">
        <v>43281</v>
      </c>
      <c r="AF56" s="3">
        <v>43281</v>
      </c>
      <c r="AG56" s="10" t="s">
        <v>466</v>
      </c>
    </row>
    <row r="57" spans="1:33" x14ac:dyDescent="0.25">
      <c r="A57">
        <v>2018</v>
      </c>
      <c r="B57" s="3">
        <v>43101</v>
      </c>
      <c r="C57" s="3">
        <v>43281</v>
      </c>
      <c r="D57" t="s">
        <v>82</v>
      </c>
      <c r="E57" t="s">
        <v>407</v>
      </c>
      <c r="F57" t="s">
        <v>408</v>
      </c>
      <c r="G57" t="s">
        <v>409</v>
      </c>
      <c r="H57" t="s">
        <v>216</v>
      </c>
      <c r="I57" t="s">
        <v>410</v>
      </c>
      <c r="J57" t="s">
        <v>411</v>
      </c>
      <c r="K57" t="s">
        <v>412</v>
      </c>
      <c r="L57" t="s">
        <v>93</v>
      </c>
      <c r="M57">
        <f>82339.8+82339.8</f>
        <v>164679.6</v>
      </c>
      <c r="N57" t="s">
        <v>214</v>
      </c>
      <c r="O57">
        <f>65886.36+65818.86</f>
        <v>131705.22</v>
      </c>
      <c r="P57" t="s">
        <v>214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260</v>
      </c>
      <c r="AE57" s="3">
        <v>43281</v>
      </c>
      <c r="AF57" s="3">
        <v>43281</v>
      </c>
      <c r="AG57" s="10" t="s">
        <v>466</v>
      </c>
    </row>
    <row r="58" spans="1:33" x14ac:dyDescent="0.25">
      <c r="A58">
        <v>2018</v>
      </c>
      <c r="B58" s="3">
        <v>43101</v>
      </c>
      <c r="C58" s="3">
        <v>43281</v>
      </c>
      <c r="D58" t="s">
        <v>83</v>
      </c>
      <c r="E58" t="s">
        <v>247</v>
      </c>
      <c r="F58" t="s">
        <v>266</v>
      </c>
      <c r="G58" t="s">
        <v>413</v>
      </c>
      <c r="H58" t="s">
        <v>285</v>
      </c>
      <c r="I58" t="s">
        <v>414</v>
      </c>
      <c r="J58" t="s">
        <v>415</v>
      </c>
      <c r="K58" t="s">
        <v>416</v>
      </c>
      <c r="L58" t="s">
        <v>94</v>
      </c>
      <c r="M58">
        <f>30000+29333.33</f>
        <v>59333.33</v>
      </c>
      <c r="N58" t="s">
        <v>214</v>
      </c>
      <c r="O58">
        <f>27308.19+26497.08</f>
        <v>53805.270000000004</v>
      </c>
      <c r="P58" t="s">
        <v>214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260</v>
      </c>
      <c r="AE58" s="3">
        <v>43281</v>
      </c>
      <c r="AF58" s="3">
        <v>43281</v>
      </c>
      <c r="AG58" s="10" t="s">
        <v>466</v>
      </c>
    </row>
    <row r="59" spans="1:33" x14ac:dyDescent="0.25">
      <c r="A59">
        <v>2018</v>
      </c>
      <c r="B59" s="3">
        <v>43101</v>
      </c>
      <c r="C59" s="3">
        <v>43281</v>
      </c>
      <c r="D59" t="s">
        <v>83</v>
      </c>
      <c r="E59" t="s">
        <v>247</v>
      </c>
      <c r="F59" t="s">
        <v>417</v>
      </c>
      <c r="G59" t="s">
        <v>417</v>
      </c>
      <c r="H59" t="s">
        <v>216</v>
      </c>
      <c r="I59" t="s">
        <v>418</v>
      </c>
      <c r="J59" t="s">
        <v>322</v>
      </c>
      <c r="K59" t="s">
        <v>419</v>
      </c>
      <c r="L59" t="s">
        <v>93</v>
      </c>
      <c r="M59">
        <f>30000+30000</f>
        <v>60000</v>
      </c>
      <c r="N59" t="s">
        <v>214</v>
      </c>
      <c r="O59">
        <f>27313.14+27092.64</f>
        <v>54405.78</v>
      </c>
      <c r="P59" t="s">
        <v>214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260</v>
      </c>
      <c r="AE59" s="3">
        <v>43281</v>
      </c>
      <c r="AF59" s="3">
        <v>43281</v>
      </c>
      <c r="AG59" s="10" t="s">
        <v>466</v>
      </c>
    </row>
    <row r="60" spans="1:33" x14ac:dyDescent="0.25">
      <c r="A60">
        <v>2018</v>
      </c>
      <c r="B60" s="3">
        <v>43101</v>
      </c>
      <c r="C60" s="3">
        <v>43281</v>
      </c>
      <c r="D60" t="s">
        <v>82</v>
      </c>
      <c r="E60" t="s">
        <v>407</v>
      </c>
      <c r="F60" t="s">
        <v>420</v>
      </c>
      <c r="G60" t="s">
        <v>420</v>
      </c>
      <c r="H60" t="s">
        <v>216</v>
      </c>
      <c r="I60" t="s">
        <v>421</v>
      </c>
      <c r="J60" t="s">
        <v>422</v>
      </c>
      <c r="K60" t="s">
        <v>423</v>
      </c>
      <c r="L60" t="s">
        <v>94</v>
      </c>
      <c r="M60">
        <f>68063.7+9831.42</f>
        <v>77895.12</v>
      </c>
      <c r="N60" t="s">
        <v>214</v>
      </c>
      <c r="O60">
        <f>55357.71+8067.22</f>
        <v>63424.93</v>
      </c>
      <c r="P60" t="s">
        <v>214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260</v>
      </c>
      <c r="AE60" s="3">
        <v>43281</v>
      </c>
      <c r="AF60" s="3">
        <v>43281</v>
      </c>
      <c r="AG60" s="10" t="s">
        <v>466</v>
      </c>
    </row>
    <row r="61" spans="1:33" x14ac:dyDescent="0.25">
      <c r="A61">
        <v>2018</v>
      </c>
      <c r="B61" s="3">
        <v>43101</v>
      </c>
      <c r="C61" s="3">
        <v>43281</v>
      </c>
      <c r="D61" t="s">
        <v>83</v>
      </c>
      <c r="E61" t="s">
        <v>247</v>
      </c>
      <c r="F61" t="s">
        <v>248</v>
      </c>
      <c r="G61" t="s">
        <v>424</v>
      </c>
      <c r="H61" t="s">
        <v>216</v>
      </c>
      <c r="I61" t="s">
        <v>425</v>
      </c>
      <c r="J61" t="s">
        <v>426</v>
      </c>
      <c r="K61" t="s">
        <v>388</v>
      </c>
      <c r="L61" t="s">
        <v>94</v>
      </c>
      <c r="M61">
        <v>2630.14</v>
      </c>
      <c r="N61" t="s">
        <v>214</v>
      </c>
      <c r="O61">
        <v>2548.54</v>
      </c>
      <c r="P61" t="s">
        <v>214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260</v>
      </c>
      <c r="AE61" s="3">
        <v>43281</v>
      </c>
      <c r="AF61" s="3">
        <v>43281</v>
      </c>
      <c r="AG61" s="10" t="s">
        <v>466</v>
      </c>
    </row>
    <row r="62" spans="1:33" x14ac:dyDescent="0.25">
      <c r="A62">
        <v>2018</v>
      </c>
      <c r="B62" s="3">
        <v>43101</v>
      </c>
      <c r="C62" s="3">
        <v>43281</v>
      </c>
      <c r="D62" t="s">
        <v>83</v>
      </c>
      <c r="E62" t="s">
        <v>247</v>
      </c>
      <c r="F62" t="s">
        <v>427</v>
      </c>
      <c r="G62" t="s">
        <v>427</v>
      </c>
      <c r="H62" t="s">
        <v>364</v>
      </c>
      <c r="I62" t="s">
        <v>428</v>
      </c>
      <c r="J62" t="s">
        <v>429</v>
      </c>
      <c r="K62" t="s">
        <v>430</v>
      </c>
      <c r="L62" t="s">
        <v>93</v>
      </c>
      <c r="M62">
        <v>24883.14</v>
      </c>
      <c r="N62" t="s">
        <v>214</v>
      </c>
      <c r="O62">
        <v>22743.48</v>
      </c>
      <c r="P62" t="s">
        <v>214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260</v>
      </c>
      <c r="AE62" s="3">
        <v>43281</v>
      </c>
      <c r="AF62" s="3">
        <v>43281</v>
      </c>
      <c r="AG62" s="10" t="s">
        <v>466</v>
      </c>
    </row>
    <row r="63" spans="1:33" x14ac:dyDescent="0.25">
      <c r="A63">
        <v>2018</v>
      </c>
      <c r="B63" s="3">
        <v>43101</v>
      </c>
      <c r="C63" s="3">
        <v>43281</v>
      </c>
      <c r="D63" t="s">
        <v>83</v>
      </c>
      <c r="E63" t="s">
        <v>247</v>
      </c>
      <c r="F63" t="s">
        <v>363</v>
      </c>
      <c r="G63" t="s">
        <v>363</v>
      </c>
      <c r="H63" t="s">
        <v>364</v>
      </c>
      <c r="I63" t="s">
        <v>431</v>
      </c>
      <c r="J63" t="s">
        <v>432</v>
      </c>
      <c r="K63" t="s">
        <v>433</v>
      </c>
      <c r="L63" t="s">
        <v>93</v>
      </c>
      <c r="M63">
        <f>30000+30000</f>
        <v>60000</v>
      </c>
      <c r="N63" t="s">
        <v>214</v>
      </c>
      <c r="O63">
        <f>27313.14+27092.64</f>
        <v>54405.78</v>
      </c>
      <c r="P63" t="s">
        <v>214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260</v>
      </c>
      <c r="AE63" s="3">
        <v>43281</v>
      </c>
      <c r="AF63" s="3">
        <v>43281</v>
      </c>
      <c r="AG63" s="10" t="s">
        <v>466</v>
      </c>
    </row>
    <row r="64" spans="1:33" x14ac:dyDescent="0.25">
      <c r="A64">
        <v>2018</v>
      </c>
      <c r="B64" s="3">
        <v>43101</v>
      </c>
      <c r="C64" s="3">
        <v>43281</v>
      </c>
      <c r="D64" t="s">
        <v>83</v>
      </c>
      <c r="E64" t="s">
        <v>247</v>
      </c>
      <c r="F64" t="s">
        <v>248</v>
      </c>
      <c r="G64" t="s">
        <v>434</v>
      </c>
      <c r="H64" t="s">
        <v>216</v>
      </c>
      <c r="I64" t="s">
        <v>435</v>
      </c>
      <c r="J64" t="s">
        <v>436</v>
      </c>
      <c r="K64" t="s">
        <v>437</v>
      </c>
      <c r="L64" t="s">
        <v>93</v>
      </c>
      <c r="M64">
        <f>36000+36000</f>
        <v>72000</v>
      </c>
      <c r="N64" t="s">
        <v>214</v>
      </c>
      <c r="O64">
        <f>32242.74+31934.94</f>
        <v>64177.68</v>
      </c>
      <c r="P64" t="s">
        <v>214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260</v>
      </c>
      <c r="AE64" s="3">
        <v>43281</v>
      </c>
      <c r="AF64" s="3">
        <v>43281</v>
      </c>
      <c r="AG64" s="10" t="s">
        <v>466</v>
      </c>
    </row>
    <row r="65" spans="1:33" x14ac:dyDescent="0.25">
      <c r="A65">
        <v>2018</v>
      </c>
      <c r="B65" s="3">
        <v>43101</v>
      </c>
      <c r="C65" s="3">
        <v>43281</v>
      </c>
      <c r="D65" t="s">
        <v>82</v>
      </c>
      <c r="E65" t="s">
        <v>246</v>
      </c>
      <c r="F65" t="s">
        <v>217</v>
      </c>
      <c r="G65" t="s">
        <v>391</v>
      </c>
      <c r="H65" t="s">
        <v>216</v>
      </c>
      <c r="I65" t="s">
        <v>438</v>
      </c>
      <c r="J65" t="s">
        <v>341</v>
      </c>
      <c r="K65" t="s">
        <v>265</v>
      </c>
      <c r="L65" t="s">
        <v>93</v>
      </c>
      <c r="M65">
        <f>84982+101978.4</f>
        <v>186960.4</v>
      </c>
      <c r="N65" t="s">
        <v>214</v>
      </c>
      <c r="O65">
        <f>66977.75+80233.62</f>
        <v>147211.37</v>
      </c>
      <c r="P65" t="s">
        <v>214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260</v>
      </c>
      <c r="AE65" s="3">
        <v>43281</v>
      </c>
      <c r="AF65" s="3">
        <v>43281</v>
      </c>
      <c r="AG65" s="10" t="s">
        <v>466</v>
      </c>
    </row>
    <row r="66" spans="1:33" x14ac:dyDescent="0.25">
      <c r="A66">
        <v>2018</v>
      </c>
      <c r="B66" s="3">
        <v>43101</v>
      </c>
      <c r="C66" s="3">
        <v>43281</v>
      </c>
      <c r="D66" t="s">
        <v>83</v>
      </c>
      <c r="E66" t="s">
        <v>247</v>
      </c>
      <c r="F66" t="s">
        <v>349</v>
      </c>
      <c r="G66" t="s">
        <v>349</v>
      </c>
      <c r="H66" t="s">
        <v>216</v>
      </c>
      <c r="I66" t="s">
        <v>439</v>
      </c>
      <c r="J66" t="s">
        <v>389</v>
      </c>
      <c r="K66" t="s">
        <v>440</v>
      </c>
      <c r="L66" t="s">
        <v>93</v>
      </c>
      <c r="M66">
        <f>8113.38+24340.14</f>
        <v>32453.52</v>
      </c>
      <c r="N66" t="s">
        <v>214</v>
      </c>
      <c r="O66">
        <f>6943.42+22954.86</f>
        <v>29898.28</v>
      </c>
      <c r="P66" t="s">
        <v>214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260</v>
      </c>
      <c r="AE66" s="3">
        <v>43281</v>
      </c>
      <c r="AF66" s="3">
        <v>43281</v>
      </c>
      <c r="AG66" s="10" t="s">
        <v>466</v>
      </c>
    </row>
    <row r="67" spans="1:33" s="11" customFormat="1" x14ac:dyDescent="0.25">
      <c r="A67" s="4">
        <v>2018</v>
      </c>
      <c r="B67" s="3">
        <v>43101</v>
      </c>
      <c r="C67" s="3">
        <v>43281</v>
      </c>
      <c r="D67" s="4" t="s">
        <v>83</v>
      </c>
      <c r="E67" s="4" t="s">
        <v>247</v>
      </c>
      <c r="F67" s="4" t="s">
        <v>427</v>
      </c>
      <c r="G67" s="4" t="s">
        <v>427</v>
      </c>
      <c r="H67" t="s">
        <v>364</v>
      </c>
      <c r="I67" t="s">
        <v>441</v>
      </c>
      <c r="J67" t="s">
        <v>354</v>
      </c>
      <c r="K67" t="s">
        <v>442</v>
      </c>
      <c r="L67" t="s">
        <v>93</v>
      </c>
      <c r="M67">
        <v>21964.9</v>
      </c>
      <c r="N67" s="4" t="s">
        <v>214</v>
      </c>
      <c r="O67">
        <v>20462.259999999998</v>
      </c>
      <c r="P67" s="4" t="s">
        <v>214</v>
      </c>
      <c r="Q67" s="4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4" t="s">
        <v>260</v>
      </c>
      <c r="AE67" s="3">
        <v>43281</v>
      </c>
      <c r="AF67" s="3">
        <v>43281</v>
      </c>
      <c r="AG67" s="10" t="s">
        <v>466</v>
      </c>
    </row>
    <row r="68" spans="1:33" s="11" customFormat="1" x14ac:dyDescent="0.25">
      <c r="A68" s="4">
        <v>2018</v>
      </c>
      <c r="B68" s="3">
        <v>43101</v>
      </c>
      <c r="C68" s="3">
        <v>43281</v>
      </c>
      <c r="D68" s="4" t="s">
        <v>83</v>
      </c>
      <c r="E68" s="4" t="s">
        <v>247</v>
      </c>
      <c r="F68" s="4" t="s">
        <v>305</v>
      </c>
      <c r="G68" s="4" t="s">
        <v>305</v>
      </c>
      <c r="H68" t="s">
        <v>216</v>
      </c>
      <c r="I68" t="s">
        <v>443</v>
      </c>
      <c r="J68" t="s">
        <v>444</v>
      </c>
      <c r="K68" t="s">
        <v>292</v>
      </c>
      <c r="L68" t="s">
        <v>93</v>
      </c>
      <c r="M68">
        <v>26936.05</v>
      </c>
      <c r="N68" s="4" t="s">
        <v>214</v>
      </c>
      <c r="O68">
        <v>23779.15</v>
      </c>
      <c r="P68" s="4" t="s">
        <v>214</v>
      </c>
      <c r="Q68" s="4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4" t="s">
        <v>260</v>
      </c>
      <c r="AE68" s="3">
        <v>43281</v>
      </c>
      <c r="AF68" s="3">
        <v>43281</v>
      </c>
      <c r="AG68" s="10" t="s">
        <v>466</v>
      </c>
    </row>
    <row r="69" spans="1:33" s="11" customFormat="1" x14ac:dyDescent="0.25">
      <c r="A69" s="4">
        <v>2018</v>
      </c>
      <c r="B69" s="3">
        <v>43101</v>
      </c>
      <c r="C69" s="3">
        <v>43281</v>
      </c>
      <c r="D69" s="4" t="s">
        <v>83</v>
      </c>
      <c r="E69" s="4" t="s">
        <v>247</v>
      </c>
      <c r="F69" s="4" t="s">
        <v>343</v>
      </c>
      <c r="G69" s="4" t="s">
        <v>343</v>
      </c>
      <c r="H69" s="4" t="s">
        <v>285</v>
      </c>
      <c r="I69" t="s">
        <v>445</v>
      </c>
      <c r="J69" t="s">
        <v>322</v>
      </c>
      <c r="K69" t="s">
        <v>294</v>
      </c>
      <c r="L69" t="s">
        <v>94</v>
      </c>
      <c r="M69">
        <v>18660.77</v>
      </c>
      <c r="N69" s="4" t="s">
        <v>214</v>
      </c>
      <c r="O69">
        <v>17793.310000000001</v>
      </c>
      <c r="P69" s="4" t="s">
        <v>214</v>
      </c>
      <c r="Q69" s="4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4" t="s">
        <v>260</v>
      </c>
      <c r="AE69" s="3">
        <v>43281</v>
      </c>
      <c r="AF69" s="3">
        <v>43281</v>
      </c>
      <c r="AG69" s="10" t="s">
        <v>466</v>
      </c>
    </row>
    <row r="70" spans="1:33" s="11" customFormat="1" x14ac:dyDescent="0.25">
      <c r="A70" s="4">
        <v>2018</v>
      </c>
      <c r="B70" s="3">
        <v>43101</v>
      </c>
      <c r="C70" s="3">
        <v>43281</v>
      </c>
      <c r="D70" s="4" t="s">
        <v>83</v>
      </c>
      <c r="E70" s="4" t="s">
        <v>247</v>
      </c>
      <c r="F70" s="4" t="s">
        <v>363</v>
      </c>
      <c r="G70" s="4" t="s">
        <v>363</v>
      </c>
      <c r="H70" t="s">
        <v>364</v>
      </c>
      <c r="I70" t="s">
        <v>446</v>
      </c>
      <c r="J70" t="s">
        <v>447</v>
      </c>
      <c r="K70" t="s">
        <v>448</v>
      </c>
      <c r="L70" t="s">
        <v>94</v>
      </c>
      <c r="M70">
        <v>24000</v>
      </c>
      <c r="N70" s="4" t="s">
        <v>214</v>
      </c>
      <c r="O70">
        <v>21297.16</v>
      </c>
      <c r="P70" s="4" t="s">
        <v>214</v>
      </c>
      <c r="Q70" s="4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4" t="s">
        <v>260</v>
      </c>
      <c r="AE70" s="3">
        <v>43281</v>
      </c>
      <c r="AF70" s="3">
        <v>43281</v>
      </c>
      <c r="AG70" s="10" t="s">
        <v>466</v>
      </c>
    </row>
    <row r="71" spans="1:33" s="11" customFormat="1" x14ac:dyDescent="0.25">
      <c r="A71" s="4">
        <v>2018</v>
      </c>
      <c r="B71" s="3">
        <v>43101</v>
      </c>
      <c r="C71" s="3">
        <v>43281</v>
      </c>
      <c r="D71" s="4" t="s">
        <v>82</v>
      </c>
      <c r="E71" s="4" t="s">
        <v>246</v>
      </c>
      <c r="F71" s="4" t="s">
        <v>399</v>
      </c>
      <c r="G71" s="4" t="s">
        <v>399</v>
      </c>
      <c r="H71" s="4" t="s">
        <v>216</v>
      </c>
      <c r="I71" t="s">
        <v>449</v>
      </c>
      <c r="J71" t="s">
        <v>450</v>
      </c>
      <c r="K71" t="s">
        <v>346</v>
      </c>
      <c r="L71" t="s">
        <v>94</v>
      </c>
      <c r="M71">
        <v>87914.4</v>
      </c>
      <c r="N71" s="4" t="s">
        <v>214</v>
      </c>
      <c r="O71">
        <v>67304</v>
      </c>
      <c r="P71" s="4" t="s">
        <v>214</v>
      </c>
      <c r="Q71" s="4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4" t="s">
        <v>260</v>
      </c>
      <c r="AE71" s="3">
        <v>43281</v>
      </c>
      <c r="AF71" s="3">
        <v>43281</v>
      </c>
      <c r="AG71" s="10" t="s">
        <v>466</v>
      </c>
    </row>
    <row r="72" spans="1:33" s="11" customFormat="1" x14ac:dyDescent="0.25">
      <c r="A72" s="4">
        <v>2018</v>
      </c>
      <c r="B72" s="3">
        <v>43101</v>
      </c>
      <c r="C72" s="3">
        <v>43281</v>
      </c>
      <c r="D72" s="4" t="s">
        <v>83</v>
      </c>
      <c r="E72" s="4" t="s">
        <v>247</v>
      </c>
      <c r="F72" s="4" t="s">
        <v>217</v>
      </c>
      <c r="G72" s="4" t="s">
        <v>391</v>
      </c>
      <c r="H72" t="s">
        <v>216</v>
      </c>
      <c r="I72" t="s">
        <v>451</v>
      </c>
      <c r="J72" t="s">
        <v>452</v>
      </c>
      <c r="K72" t="s">
        <v>453</v>
      </c>
      <c r="L72" t="s">
        <v>94</v>
      </c>
      <c r="M72">
        <v>727523.41</v>
      </c>
      <c r="N72" s="4" t="s">
        <v>214</v>
      </c>
      <c r="O72">
        <v>500000</v>
      </c>
      <c r="P72" s="4" t="s">
        <v>214</v>
      </c>
      <c r="Q72" s="4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4" t="s">
        <v>260</v>
      </c>
      <c r="AE72" s="3">
        <v>43281</v>
      </c>
      <c r="AF72" s="3">
        <v>43281</v>
      </c>
      <c r="AG72" s="10" t="s">
        <v>466</v>
      </c>
    </row>
    <row r="73" spans="1:33" s="11" customFormat="1" x14ac:dyDescent="0.25">
      <c r="A73" s="4">
        <v>2018</v>
      </c>
      <c r="B73" s="3">
        <v>43101</v>
      </c>
      <c r="C73" s="3">
        <v>43281</v>
      </c>
      <c r="D73" s="4" t="s">
        <v>83</v>
      </c>
      <c r="E73" s="4" t="s">
        <v>247</v>
      </c>
      <c r="F73" s="4" t="s">
        <v>305</v>
      </c>
      <c r="G73" s="4" t="s">
        <v>305</v>
      </c>
      <c r="H73" t="s">
        <v>216</v>
      </c>
      <c r="I73" t="s">
        <v>454</v>
      </c>
      <c r="J73" t="s">
        <v>273</v>
      </c>
      <c r="K73" t="s">
        <v>255</v>
      </c>
      <c r="L73" t="s">
        <v>94</v>
      </c>
      <c r="M73">
        <v>8113.38</v>
      </c>
      <c r="N73" s="4" t="s">
        <v>214</v>
      </c>
      <c r="O73">
        <v>7651.62</v>
      </c>
      <c r="P73" s="4" t="s">
        <v>214</v>
      </c>
      <c r="Q73" s="4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4" t="s">
        <v>260</v>
      </c>
      <c r="AE73" s="3">
        <v>43281</v>
      </c>
      <c r="AF73" s="3">
        <v>43281</v>
      </c>
      <c r="AG73" s="10" t="s">
        <v>466</v>
      </c>
    </row>
    <row r="74" spans="1:33" s="11" customFormat="1" x14ac:dyDescent="0.25">
      <c r="A74" s="4">
        <v>2018</v>
      </c>
      <c r="B74" s="3">
        <v>43101</v>
      </c>
      <c r="C74" s="3">
        <v>43281</v>
      </c>
      <c r="D74" s="4" t="s">
        <v>83</v>
      </c>
      <c r="E74" s="4" t="s">
        <v>247</v>
      </c>
      <c r="F74" s="4" t="s">
        <v>361</v>
      </c>
      <c r="G74" s="4" t="s">
        <v>361</v>
      </c>
      <c r="H74" t="s">
        <v>216</v>
      </c>
      <c r="I74" t="s">
        <v>455</v>
      </c>
      <c r="J74" t="s">
        <v>294</v>
      </c>
      <c r="K74" t="s">
        <v>456</v>
      </c>
      <c r="L74" t="s">
        <v>94</v>
      </c>
      <c r="M74">
        <v>4056.69</v>
      </c>
      <c r="N74" s="4" t="s">
        <v>214</v>
      </c>
      <c r="O74">
        <f>3825.81+2.06</f>
        <v>3827.87</v>
      </c>
      <c r="P74" s="4" t="s">
        <v>214</v>
      </c>
      <c r="Q74" s="4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4" t="s">
        <v>260</v>
      </c>
      <c r="AE74" s="3">
        <v>43281</v>
      </c>
      <c r="AF74" s="3">
        <v>43281</v>
      </c>
      <c r="AG74" s="10" t="s">
        <v>466</v>
      </c>
    </row>
    <row r="75" spans="1:33" s="8" customFormat="1" x14ac:dyDescent="0.25">
      <c r="A75" s="8">
        <v>2018</v>
      </c>
      <c r="B75" s="19">
        <v>43282</v>
      </c>
      <c r="C75" s="19">
        <v>43465</v>
      </c>
      <c r="D75" s="8" t="s">
        <v>82</v>
      </c>
      <c r="E75" s="8" t="s">
        <v>246</v>
      </c>
      <c r="F75" s="8" t="s">
        <v>217</v>
      </c>
      <c r="G75" s="8" t="s">
        <v>308</v>
      </c>
      <c r="H75" s="8" t="s">
        <v>216</v>
      </c>
      <c r="I75" s="8" t="s">
        <v>218</v>
      </c>
      <c r="J75" s="8" t="s">
        <v>219</v>
      </c>
      <c r="K75" s="8" t="s">
        <v>220</v>
      </c>
      <c r="L75" s="8" t="s">
        <v>94</v>
      </c>
      <c r="M75" s="8">
        <f>104811.13+150134.73</f>
        <v>254945.86000000002</v>
      </c>
      <c r="N75" s="8" t="s">
        <v>214</v>
      </c>
      <c r="O75" s="8">
        <f>82684.45+117916.65</f>
        <v>200601.09999999998</v>
      </c>
      <c r="P75" s="8" t="s">
        <v>214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260</v>
      </c>
      <c r="AE75" s="19">
        <v>43465</v>
      </c>
      <c r="AF75" s="19">
        <v>43465</v>
      </c>
      <c r="AG75" s="8" t="s">
        <v>466</v>
      </c>
    </row>
    <row r="76" spans="1:33" x14ac:dyDescent="0.25">
      <c r="A76" s="5">
        <v>2018</v>
      </c>
      <c r="B76" s="3">
        <v>43282</v>
      </c>
      <c r="C76" s="19">
        <v>43465</v>
      </c>
      <c r="D76" s="5" t="s">
        <v>83</v>
      </c>
      <c r="E76" s="5" t="s">
        <v>247</v>
      </c>
      <c r="F76" s="5" t="s">
        <v>242</v>
      </c>
      <c r="G76" s="5" t="s">
        <v>242</v>
      </c>
      <c r="H76" s="5" t="s">
        <v>216</v>
      </c>
      <c r="I76" s="5" t="s">
        <v>243</v>
      </c>
      <c r="J76" s="5" t="s">
        <v>244</v>
      </c>
      <c r="K76" s="5" t="s">
        <v>245</v>
      </c>
      <c r="L76" s="5" t="s">
        <v>93</v>
      </c>
      <c r="M76">
        <f>32469.87+40981.93</f>
        <v>73451.8</v>
      </c>
      <c r="N76" s="5" t="s">
        <v>214</v>
      </c>
      <c r="O76">
        <f>30337.61+38215.11</f>
        <v>68552.72</v>
      </c>
      <c r="P76" s="5" t="s">
        <v>214</v>
      </c>
      <c r="Q76">
        <v>2</v>
      </c>
      <c r="R76" s="5">
        <v>2</v>
      </c>
      <c r="S76" s="5">
        <v>2</v>
      </c>
      <c r="T76" s="5">
        <v>2</v>
      </c>
      <c r="U76" s="5">
        <v>2</v>
      </c>
      <c r="V76" s="5">
        <v>2</v>
      </c>
      <c r="W76" s="5">
        <v>2</v>
      </c>
      <c r="X76" s="5">
        <v>2</v>
      </c>
      <c r="Y76" s="5">
        <v>2</v>
      </c>
      <c r="Z76" s="5">
        <v>2</v>
      </c>
      <c r="AA76" s="5">
        <v>2</v>
      </c>
      <c r="AB76" s="5">
        <v>2</v>
      </c>
      <c r="AC76" s="5">
        <v>2</v>
      </c>
      <c r="AD76" s="5" t="s">
        <v>260</v>
      </c>
      <c r="AE76" s="19">
        <v>43465</v>
      </c>
      <c r="AF76" s="19">
        <v>43465</v>
      </c>
      <c r="AG76" s="10" t="s">
        <v>466</v>
      </c>
    </row>
    <row r="77" spans="1:33" x14ac:dyDescent="0.25">
      <c r="A77" s="5">
        <v>2018</v>
      </c>
      <c r="B77" s="3">
        <v>43282</v>
      </c>
      <c r="C77" s="19">
        <v>43465</v>
      </c>
      <c r="D77" s="5" t="s">
        <v>83</v>
      </c>
      <c r="E77" s="5" t="s">
        <v>247</v>
      </c>
      <c r="F77" s="5" t="s">
        <v>248</v>
      </c>
      <c r="G77" s="5" t="s">
        <v>249</v>
      </c>
      <c r="H77" s="5" t="s">
        <v>216</v>
      </c>
      <c r="I77" s="5" t="s">
        <v>250</v>
      </c>
      <c r="J77" s="5" t="s">
        <v>251</v>
      </c>
      <c r="K77" s="5" t="s">
        <v>252</v>
      </c>
      <c r="L77" s="5" t="s">
        <v>94</v>
      </c>
      <c r="M77">
        <f>36796.64+50039.06</f>
        <v>86835.7</v>
      </c>
      <c r="N77" s="5" t="s">
        <v>214</v>
      </c>
      <c r="O77">
        <f>33720.33+44876.78</f>
        <v>78597.11</v>
      </c>
      <c r="P77" s="5" t="s">
        <v>214</v>
      </c>
      <c r="Q77">
        <v>3</v>
      </c>
      <c r="R77" s="5">
        <v>3</v>
      </c>
      <c r="S77" s="5">
        <v>3</v>
      </c>
      <c r="T77" s="5">
        <v>3</v>
      </c>
      <c r="U77" s="5">
        <v>3</v>
      </c>
      <c r="V77" s="5">
        <v>3</v>
      </c>
      <c r="W77" s="5">
        <v>3</v>
      </c>
      <c r="X77" s="5">
        <v>3</v>
      </c>
      <c r="Y77" s="5">
        <v>3</v>
      </c>
      <c r="Z77" s="5">
        <v>3</v>
      </c>
      <c r="AA77" s="5">
        <v>3</v>
      </c>
      <c r="AB77" s="5">
        <v>3</v>
      </c>
      <c r="AC77" s="5">
        <v>3</v>
      </c>
      <c r="AD77" s="5" t="s">
        <v>260</v>
      </c>
      <c r="AE77" s="19">
        <v>43465</v>
      </c>
      <c r="AF77" s="19">
        <v>43465</v>
      </c>
      <c r="AG77" s="10" t="s">
        <v>466</v>
      </c>
    </row>
    <row r="78" spans="1:33" x14ac:dyDescent="0.25">
      <c r="A78" s="5">
        <v>2018</v>
      </c>
      <c r="B78" s="3">
        <v>43282</v>
      </c>
      <c r="C78" s="19">
        <v>43465</v>
      </c>
      <c r="D78" s="5" t="s">
        <v>83</v>
      </c>
      <c r="E78" s="5" t="s">
        <v>247</v>
      </c>
      <c r="F78" s="5" t="s">
        <v>253</v>
      </c>
      <c r="G78" s="5" t="s">
        <v>253</v>
      </c>
      <c r="H78" s="5" t="s">
        <v>216</v>
      </c>
      <c r="I78" s="5" t="s">
        <v>254</v>
      </c>
      <c r="J78" s="5" t="s">
        <v>255</v>
      </c>
      <c r="K78" s="5" t="s">
        <v>256</v>
      </c>
      <c r="L78" s="5" t="s">
        <v>93</v>
      </c>
      <c r="M78">
        <f>32229.21+43947.92</f>
        <v>76177.13</v>
      </c>
      <c r="N78" s="5" t="s">
        <v>214</v>
      </c>
      <c r="O78">
        <f>29491.2+40205.88</f>
        <v>69697.08</v>
      </c>
      <c r="P78" s="5" t="s">
        <v>214</v>
      </c>
      <c r="Q78" s="5">
        <v>4</v>
      </c>
      <c r="R78" s="5">
        <v>4</v>
      </c>
      <c r="S78" s="5">
        <v>4</v>
      </c>
      <c r="T78" s="5">
        <v>4</v>
      </c>
      <c r="U78" s="5">
        <v>4</v>
      </c>
      <c r="V78" s="5">
        <v>4</v>
      </c>
      <c r="W78" s="5">
        <v>4</v>
      </c>
      <c r="X78" s="5">
        <v>4</v>
      </c>
      <c r="Y78" s="5">
        <v>4</v>
      </c>
      <c r="Z78" s="5">
        <v>4</v>
      </c>
      <c r="AA78" s="5">
        <v>4</v>
      </c>
      <c r="AB78" s="5">
        <v>4</v>
      </c>
      <c r="AC78" s="5">
        <v>4</v>
      </c>
      <c r="AD78" s="5" t="s">
        <v>260</v>
      </c>
      <c r="AE78" s="19">
        <v>43465</v>
      </c>
      <c r="AF78" s="19">
        <v>43465</v>
      </c>
      <c r="AG78" s="10" t="s">
        <v>466</v>
      </c>
    </row>
    <row r="79" spans="1:33" x14ac:dyDescent="0.25">
      <c r="A79" s="5">
        <v>2018</v>
      </c>
      <c r="B79" s="3">
        <v>43282</v>
      </c>
      <c r="C79" s="19">
        <v>43465</v>
      </c>
      <c r="D79" s="5" t="s">
        <v>83</v>
      </c>
      <c r="E79" s="5" t="s">
        <v>247</v>
      </c>
      <c r="F79" s="5" t="s">
        <v>248</v>
      </c>
      <c r="G79" s="5" t="s">
        <v>257</v>
      </c>
      <c r="H79" s="5" t="s">
        <v>216</v>
      </c>
      <c r="I79" s="5" t="s">
        <v>258</v>
      </c>
      <c r="J79" s="5" t="s">
        <v>259</v>
      </c>
      <c r="K79" s="5"/>
      <c r="L79" s="5" t="s">
        <v>93</v>
      </c>
      <c r="M79">
        <f>55494.63+74305.87</f>
        <v>129800.5</v>
      </c>
      <c r="N79" s="5" t="s">
        <v>214</v>
      </c>
      <c r="O79">
        <f>49931.94+66529.83</f>
        <v>116461.77</v>
      </c>
      <c r="P79" s="5" t="s">
        <v>214</v>
      </c>
      <c r="Q79" s="5">
        <v>5</v>
      </c>
      <c r="R79" s="5">
        <v>5</v>
      </c>
      <c r="S79" s="5">
        <v>5</v>
      </c>
      <c r="T79" s="5">
        <v>5</v>
      </c>
      <c r="U79" s="5">
        <v>5</v>
      </c>
      <c r="V79" s="5">
        <v>5</v>
      </c>
      <c r="W79" s="5">
        <v>5</v>
      </c>
      <c r="X79" s="5">
        <v>5</v>
      </c>
      <c r="Y79" s="5">
        <v>5</v>
      </c>
      <c r="Z79" s="5">
        <v>5</v>
      </c>
      <c r="AA79" s="5">
        <v>5</v>
      </c>
      <c r="AB79" s="5">
        <v>5</v>
      </c>
      <c r="AC79" s="5">
        <v>5</v>
      </c>
      <c r="AD79" s="5" t="s">
        <v>260</v>
      </c>
      <c r="AE79" s="19">
        <v>43465</v>
      </c>
      <c r="AF79" s="19">
        <v>43465</v>
      </c>
      <c r="AG79" s="10" t="s">
        <v>466</v>
      </c>
    </row>
    <row r="80" spans="1:33" x14ac:dyDescent="0.25">
      <c r="A80" s="5">
        <v>2018</v>
      </c>
      <c r="B80" s="3">
        <v>43282</v>
      </c>
      <c r="C80" s="19">
        <v>43465</v>
      </c>
      <c r="D80" s="5" t="s">
        <v>83</v>
      </c>
      <c r="E80" s="5" t="s">
        <v>247</v>
      </c>
      <c r="F80" s="5" t="s">
        <v>261</v>
      </c>
      <c r="G80" s="5" t="s">
        <v>262</v>
      </c>
      <c r="H80" s="5" t="s">
        <v>216</v>
      </c>
      <c r="I80" s="5" t="s">
        <v>263</v>
      </c>
      <c r="J80" s="5" t="s">
        <v>264</v>
      </c>
      <c r="K80" s="5" t="s">
        <v>265</v>
      </c>
      <c r="L80" s="5" t="s">
        <v>94</v>
      </c>
      <c r="M80">
        <f>30823.83+41875.87</f>
        <v>72699.700000000012</v>
      </c>
      <c r="N80" s="5" t="s">
        <v>214</v>
      </c>
      <c r="O80">
        <f>29023.39+39430.95</f>
        <v>68454.34</v>
      </c>
      <c r="P80" s="5" t="s">
        <v>214</v>
      </c>
      <c r="Q80" s="5">
        <v>6</v>
      </c>
      <c r="R80" s="5">
        <v>6</v>
      </c>
      <c r="S80" s="5">
        <v>6</v>
      </c>
      <c r="T80" s="5">
        <v>6</v>
      </c>
      <c r="U80" s="5">
        <v>6</v>
      </c>
      <c r="V80" s="5">
        <v>6</v>
      </c>
      <c r="W80" s="5">
        <v>6</v>
      </c>
      <c r="X80" s="5">
        <v>6</v>
      </c>
      <c r="Y80" s="5">
        <v>6</v>
      </c>
      <c r="Z80" s="5">
        <v>6</v>
      </c>
      <c r="AA80" s="5">
        <v>6</v>
      </c>
      <c r="AB80" s="5">
        <v>6</v>
      </c>
      <c r="AC80" s="5">
        <v>6</v>
      </c>
      <c r="AD80" s="5" t="s">
        <v>260</v>
      </c>
      <c r="AE80" s="19">
        <v>43465</v>
      </c>
      <c r="AF80" s="19">
        <v>43465</v>
      </c>
      <c r="AG80" s="10" t="s">
        <v>466</v>
      </c>
    </row>
    <row r="81" spans="1:33" x14ac:dyDescent="0.25">
      <c r="A81" s="5">
        <v>2018</v>
      </c>
      <c r="B81" s="3">
        <v>43282</v>
      </c>
      <c r="C81" s="19">
        <v>43465</v>
      </c>
      <c r="D81" s="5" t="s">
        <v>83</v>
      </c>
      <c r="E81" s="5" t="s">
        <v>247</v>
      </c>
      <c r="F81" s="5" t="s">
        <v>266</v>
      </c>
      <c r="G81" s="5" t="s">
        <v>266</v>
      </c>
      <c r="H81" s="5" t="s">
        <v>216</v>
      </c>
      <c r="I81" s="5" t="s">
        <v>267</v>
      </c>
      <c r="J81" s="5" t="s">
        <v>268</v>
      </c>
      <c r="K81" s="5" t="s">
        <v>269</v>
      </c>
      <c r="L81" s="5" t="s">
        <v>93</v>
      </c>
      <c r="M81">
        <f>26497.3+35700.4</f>
        <v>62197.7</v>
      </c>
      <c r="N81" s="5" t="s">
        <v>214</v>
      </c>
      <c r="O81">
        <f>25112.02+33401.2</f>
        <v>58513.22</v>
      </c>
      <c r="P81" s="5" t="s">
        <v>214</v>
      </c>
      <c r="Q81" s="5">
        <v>7</v>
      </c>
      <c r="R81" s="5">
        <v>7</v>
      </c>
      <c r="S81" s="5">
        <v>7</v>
      </c>
      <c r="T81" s="5">
        <v>7</v>
      </c>
      <c r="U81" s="5">
        <v>7</v>
      </c>
      <c r="V81" s="5">
        <v>7</v>
      </c>
      <c r="W81" s="5">
        <v>7</v>
      </c>
      <c r="X81" s="5">
        <v>7</v>
      </c>
      <c r="Y81" s="5">
        <v>7</v>
      </c>
      <c r="Z81" s="5">
        <v>7</v>
      </c>
      <c r="AA81" s="5">
        <v>7</v>
      </c>
      <c r="AB81" s="5">
        <v>7</v>
      </c>
      <c r="AC81" s="5">
        <v>7</v>
      </c>
      <c r="AD81" s="5" t="s">
        <v>260</v>
      </c>
      <c r="AE81" s="19">
        <v>43465</v>
      </c>
      <c r="AF81" s="19">
        <v>43465</v>
      </c>
      <c r="AG81" s="10" t="s">
        <v>466</v>
      </c>
    </row>
    <row r="82" spans="1:33" x14ac:dyDescent="0.25">
      <c r="A82" s="5">
        <v>2018</v>
      </c>
      <c r="B82" s="3">
        <v>43282</v>
      </c>
      <c r="C82" s="19">
        <v>43465</v>
      </c>
      <c r="D82" s="5" t="s">
        <v>83</v>
      </c>
      <c r="E82" s="5" t="s">
        <v>247</v>
      </c>
      <c r="F82" s="5" t="s">
        <v>270</v>
      </c>
      <c r="G82" s="5" t="s">
        <v>270</v>
      </c>
      <c r="H82" s="5" t="s">
        <v>216</v>
      </c>
      <c r="I82" s="5" t="s">
        <v>271</v>
      </c>
      <c r="J82" s="5" t="s">
        <v>272</v>
      </c>
      <c r="K82" s="5" t="s">
        <v>273</v>
      </c>
      <c r="L82" s="5" t="s">
        <v>93</v>
      </c>
      <c r="M82">
        <f>31404.01+39519.24</f>
        <v>70923.25</v>
      </c>
      <c r="N82" s="5" t="s">
        <v>214</v>
      </c>
      <c r="O82">
        <f>28895.89+35961.88</f>
        <v>64857.77</v>
      </c>
      <c r="P82" s="5" t="s">
        <v>214</v>
      </c>
      <c r="Q82" s="5">
        <v>8</v>
      </c>
      <c r="R82" s="5">
        <v>8</v>
      </c>
      <c r="S82" s="5">
        <v>8</v>
      </c>
      <c r="T82" s="5">
        <v>8</v>
      </c>
      <c r="U82" s="5">
        <v>8</v>
      </c>
      <c r="V82" s="5">
        <v>8</v>
      </c>
      <c r="W82" s="5">
        <v>8</v>
      </c>
      <c r="X82" s="5">
        <v>8</v>
      </c>
      <c r="Y82" s="5">
        <v>8</v>
      </c>
      <c r="Z82" s="5">
        <v>8</v>
      </c>
      <c r="AA82" s="5">
        <v>8</v>
      </c>
      <c r="AB82" s="5">
        <v>8</v>
      </c>
      <c r="AC82" s="5">
        <v>8</v>
      </c>
      <c r="AD82" s="5" t="s">
        <v>260</v>
      </c>
      <c r="AE82" s="19">
        <v>43465</v>
      </c>
      <c r="AF82" s="19">
        <v>43465</v>
      </c>
      <c r="AG82" s="10" t="s">
        <v>466</v>
      </c>
    </row>
    <row r="83" spans="1:33" x14ac:dyDescent="0.25">
      <c r="A83" s="5">
        <v>2018</v>
      </c>
      <c r="B83" s="3">
        <v>43282</v>
      </c>
      <c r="C83" s="19">
        <v>43465</v>
      </c>
      <c r="D83" s="5" t="s">
        <v>83</v>
      </c>
      <c r="E83" s="5" t="s">
        <v>247</v>
      </c>
      <c r="F83" s="5" t="s">
        <v>261</v>
      </c>
      <c r="G83" s="5" t="s">
        <v>262</v>
      </c>
      <c r="H83" s="5" t="s">
        <v>216</v>
      </c>
      <c r="I83" s="5" t="s">
        <v>274</v>
      </c>
      <c r="J83" s="5" t="s">
        <v>273</v>
      </c>
      <c r="K83" s="5" t="s">
        <v>275</v>
      </c>
      <c r="L83" s="5" t="s">
        <v>94</v>
      </c>
      <c r="M83">
        <f>27656.18+34889.06</f>
        <v>62545.24</v>
      </c>
      <c r="N83" s="5" t="s">
        <v>214</v>
      </c>
      <c r="O83">
        <f>26469.21+32705.82</f>
        <v>59175.03</v>
      </c>
      <c r="P83" s="5" t="s">
        <v>214</v>
      </c>
      <c r="Q83" s="5">
        <v>9</v>
      </c>
      <c r="R83" s="5">
        <v>9</v>
      </c>
      <c r="S83" s="5">
        <v>9</v>
      </c>
      <c r="T83" s="5">
        <v>9</v>
      </c>
      <c r="U83" s="5">
        <v>9</v>
      </c>
      <c r="V83" s="5">
        <v>9</v>
      </c>
      <c r="W83" s="5">
        <v>9</v>
      </c>
      <c r="X83" s="5">
        <v>9</v>
      </c>
      <c r="Y83" s="5">
        <v>9</v>
      </c>
      <c r="Z83" s="5">
        <v>9</v>
      </c>
      <c r="AA83" s="5">
        <v>9</v>
      </c>
      <c r="AB83" s="5">
        <v>9</v>
      </c>
      <c r="AC83" s="5">
        <v>9</v>
      </c>
      <c r="AD83" s="5" t="s">
        <v>260</v>
      </c>
      <c r="AE83" s="19">
        <v>43465</v>
      </c>
      <c r="AF83" s="19">
        <v>43465</v>
      </c>
      <c r="AG83" s="10" t="s">
        <v>466</v>
      </c>
    </row>
    <row r="84" spans="1:33" x14ac:dyDescent="0.25">
      <c r="A84" s="5">
        <v>2018</v>
      </c>
      <c r="B84" s="3">
        <v>43282</v>
      </c>
      <c r="C84" s="19">
        <v>43465</v>
      </c>
      <c r="D84" s="5" t="s">
        <v>83</v>
      </c>
      <c r="E84" s="5" t="s">
        <v>247</v>
      </c>
      <c r="F84" s="5" t="s">
        <v>276</v>
      </c>
      <c r="G84" s="5" t="s">
        <v>276</v>
      </c>
      <c r="H84" s="5" t="s">
        <v>216</v>
      </c>
      <c r="I84" s="5" t="s">
        <v>277</v>
      </c>
      <c r="J84" s="5" t="s">
        <v>278</v>
      </c>
      <c r="K84" s="5" t="s">
        <v>279</v>
      </c>
      <c r="L84" s="5" t="s">
        <v>93</v>
      </c>
      <c r="M84">
        <f>34064.5+43542.52</f>
        <v>77607.01999999999</v>
      </c>
      <c r="N84" s="5" t="s">
        <v>214</v>
      </c>
      <c r="O84">
        <f>32109.2+40833.78</f>
        <v>72942.98</v>
      </c>
      <c r="P84" s="5" t="s">
        <v>214</v>
      </c>
      <c r="Q84" s="5">
        <v>10</v>
      </c>
      <c r="R84" s="5">
        <v>10</v>
      </c>
      <c r="S84" s="5">
        <v>10</v>
      </c>
      <c r="T84" s="5">
        <v>10</v>
      </c>
      <c r="U84" s="5">
        <v>10</v>
      </c>
      <c r="V84" s="5">
        <v>10</v>
      </c>
      <c r="W84" s="5">
        <v>10</v>
      </c>
      <c r="X84" s="5">
        <v>10</v>
      </c>
      <c r="Y84" s="5">
        <v>10</v>
      </c>
      <c r="Z84" s="5">
        <v>10</v>
      </c>
      <c r="AA84" s="5">
        <v>10</v>
      </c>
      <c r="AB84" s="5">
        <v>10</v>
      </c>
      <c r="AC84" s="5">
        <v>10</v>
      </c>
      <c r="AD84" s="5" t="s">
        <v>260</v>
      </c>
      <c r="AE84" s="19">
        <v>43465</v>
      </c>
      <c r="AF84" s="19">
        <v>43465</v>
      </c>
      <c r="AG84" s="10" t="s">
        <v>466</v>
      </c>
    </row>
    <row r="85" spans="1:33" x14ac:dyDescent="0.25">
      <c r="A85" s="5">
        <v>2018</v>
      </c>
      <c r="B85" s="3">
        <v>43282</v>
      </c>
      <c r="C85" s="19">
        <v>43465</v>
      </c>
      <c r="D85" s="5" t="s">
        <v>83</v>
      </c>
      <c r="E85" s="5" t="s">
        <v>247</v>
      </c>
      <c r="F85" s="5" t="s">
        <v>280</v>
      </c>
      <c r="G85" s="5" t="s">
        <v>280</v>
      </c>
      <c r="H85" s="5" t="s">
        <v>216</v>
      </c>
      <c r="I85" s="5" t="s">
        <v>281</v>
      </c>
      <c r="J85" s="5" t="s">
        <v>282</v>
      </c>
      <c r="K85" s="5" t="s">
        <v>283</v>
      </c>
      <c r="L85" s="5" t="s">
        <v>93</v>
      </c>
      <c r="M85">
        <v>178220.35</v>
      </c>
      <c r="N85" s="5" t="s">
        <v>214</v>
      </c>
      <c r="O85">
        <v>147572.25</v>
      </c>
      <c r="P85" s="5" t="s">
        <v>214</v>
      </c>
      <c r="Q85" s="5">
        <v>11</v>
      </c>
      <c r="R85" s="5">
        <v>11</v>
      </c>
      <c r="S85" s="5">
        <v>11</v>
      </c>
      <c r="T85" s="5">
        <v>11</v>
      </c>
      <c r="U85" s="5">
        <v>11</v>
      </c>
      <c r="V85" s="5">
        <v>11</v>
      </c>
      <c r="W85" s="5">
        <v>11</v>
      </c>
      <c r="X85" s="5">
        <v>11</v>
      </c>
      <c r="Y85" s="5">
        <v>11</v>
      </c>
      <c r="Z85" s="5">
        <v>11</v>
      </c>
      <c r="AA85" s="5">
        <v>11</v>
      </c>
      <c r="AB85" s="5">
        <v>11</v>
      </c>
      <c r="AC85" s="5">
        <v>11</v>
      </c>
      <c r="AD85" s="5" t="s">
        <v>260</v>
      </c>
      <c r="AE85" s="19">
        <v>43465</v>
      </c>
      <c r="AF85" s="19">
        <v>43465</v>
      </c>
      <c r="AG85" s="10" t="s">
        <v>466</v>
      </c>
    </row>
    <row r="86" spans="1:33" x14ac:dyDescent="0.25">
      <c r="A86" s="5">
        <v>2018</v>
      </c>
      <c r="B86" s="3">
        <v>43282</v>
      </c>
      <c r="C86" s="19">
        <v>43465</v>
      </c>
      <c r="D86" s="5" t="s">
        <v>83</v>
      </c>
      <c r="E86" s="5" t="s">
        <v>247</v>
      </c>
      <c r="F86" s="5" t="s">
        <v>284</v>
      </c>
      <c r="G86" s="5" t="s">
        <v>284</v>
      </c>
      <c r="H86" s="5" t="s">
        <v>285</v>
      </c>
      <c r="I86" s="5" t="s">
        <v>286</v>
      </c>
      <c r="J86" s="5" t="s">
        <v>287</v>
      </c>
      <c r="K86" s="5" t="s">
        <v>288</v>
      </c>
      <c r="L86" s="5" t="s">
        <v>93</v>
      </c>
      <c r="M86">
        <f>26226.85+34889.05</f>
        <v>61115.9</v>
      </c>
      <c r="N86" s="5" t="s">
        <v>214</v>
      </c>
      <c r="O86">
        <f>24893.64+32746.06</f>
        <v>57639.7</v>
      </c>
      <c r="P86" s="5" t="s">
        <v>214</v>
      </c>
      <c r="Q86" s="5">
        <v>12</v>
      </c>
      <c r="R86" s="5">
        <v>12</v>
      </c>
      <c r="S86" s="5">
        <v>12</v>
      </c>
      <c r="T86" s="5">
        <v>12</v>
      </c>
      <c r="U86" s="5">
        <v>12</v>
      </c>
      <c r="V86" s="5">
        <v>12</v>
      </c>
      <c r="W86" s="5">
        <v>12</v>
      </c>
      <c r="X86" s="5">
        <v>12</v>
      </c>
      <c r="Y86" s="5">
        <v>12</v>
      </c>
      <c r="Z86" s="5">
        <v>12</v>
      </c>
      <c r="AA86" s="5">
        <v>12</v>
      </c>
      <c r="AB86" s="5">
        <v>12</v>
      </c>
      <c r="AC86" s="5">
        <v>12</v>
      </c>
      <c r="AD86" s="5" t="s">
        <v>260</v>
      </c>
      <c r="AE86" s="19">
        <v>43465</v>
      </c>
      <c r="AF86" s="19">
        <v>43465</v>
      </c>
      <c r="AG86" s="10" t="s">
        <v>466</v>
      </c>
    </row>
    <row r="87" spans="1:33" x14ac:dyDescent="0.25">
      <c r="A87" s="5">
        <v>2018</v>
      </c>
      <c r="B87" s="3">
        <v>43282</v>
      </c>
      <c r="C87" s="19">
        <v>43465</v>
      </c>
      <c r="D87" s="5" t="s">
        <v>83</v>
      </c>
      <c r="E87" s="5" t="s">
        <v>247</v>
      </c>
      <c r="F87" s="5" t="s">
        <v>289</v>
      </c>
      <c r="G87" s="5" t="s">
        <v>289</v>
      </c>
      <c r="H87" s="5" t="s">
        <v>216</v>
      </c>
      <c r="I87" s="5" t="s">
        <v>290</v>
      </c>
      <c r="J87" s="5" t="s">
        <v>291</v>
      </c>
      <c r="K87" s="5" t="s">
        <v>292</v>
      </c>
      <c r="L87" s="5" t="s">
        <v>93</v>
      </c>
      <c r="M87">
        <f>32954.61+43947.92</f>
        <v>76902.53</v>
      </c>
      <c r="N87" s="5" t="s">
        <v>214</v>
      </c>
      <c r="O87">
        <f>30210+40186.08</f>
        <v>70396.08</v>
      </c>
      <c r="P87" s="5" t="s">
        <v>214</v>
      </c>
      <c r="Q87" s="5">
        <v>13</v>
      </c>
      <c r="R87" s="5">
        <v>13</v>
      </c>
      <c r="S87" s="5">
        <v>13</v>
      </c>
      <c r="T87" s="5">
        <v>13</v>
      </c>
      <c r="U87" s="5">
        <v>13</v>
      </c>
      <c r="V87" s="5">
        <v>13</v>
      </c>
      <c r="W87" s="5">
        <v>13</v>
      </c>
      <c r="X87" s="5">
        <v>13</v>
      </c>
      <c r="Y87" s="5">
        <v>13</v>
      </c>
      <c r="Z87" s="5">
        <v>13</v>
      </c>
      <c r="AA87" s="5">
        <v>13</v>
      </c>
      <c r="AB87" s="5">
        <v>13</v>
      </c>
      <c r="AC87" s="5">
        <v>13</v>
      </c>
      <c r="AD87" s="5" t="s">
        <v>260</v>
      </c>
      <c r="AE87" s="19">
        <v>43465</v>
      </c>
      <c r="AF87" s="19">
        <v>43465</v>
      </c>
      <c r="AG87" s="10" t="s">
        <v>466</v>
      </c>
    </row>
    <row r="88" spans="1:33" x14ac:dyDescent="0.25">
      <c r="A88" s="5">
        <v>2018</v>
      </c>
      <c r="B88" s="3">
        <v>43282</v>
      </c>
      <c r="C88" s="19">
        <v>43465</v>
      </c>
      <c r="D88" s="5" t="s">
        <v>83</v>
      </c>
      <c r="E88" s="5" t="s">
        <v>247</v>
      </c>
      <c r="F88" s="5" t="s">
        <v>242</v>
      </c>
      <c r="G88" s="5" t="s">
        <v>242</v>
      </c>
      <c r="H88" s="5" t="s">
        <v>216</v>
      </c>
      <c r="I88" s="5" t="s">
        <v>293</v>
      </c>
      <c r="J88" s="5" t="s">
        <v>294</v>
      </c>
      <c r="K88" s="5" t="s">
        <v>295</v>
      </c>
      <c r="L88" s="5" t="s">
        <v>93</v>
      </c>
      <c r="M88">
        <f>28737.98+35700.4</f>
        <v>64438.380000000005</v>
      </c>
      <c r="N88" s="5" t="s">
        <v>214</v>
      </c>
      <c r="O88">
        <f>27342.5+33380.5</f>
        <v>60723</v>
      </c>
      <c r="P88" s="5" t="s">
        <v>214</v>
      </c>
      <c r="Q88" s="5">
        <v>14</v>
      </c>
      <c r="R88" s="5">
        <v>14</v>
      </c>
      <c r="S88" s="5">
        <v>14</v>
      </c>
      <c r="T88" s="5">
        <v>14</v>
      </c>
      <c r="U88" s="5">
        <v>14</v>
      </c>
      <c r="V88" s="5">
        <v>14</v>
      </c>
      <c r="W88" s="5">
        <v>14</v>
      </c>
      <c r="X88" s="5">
        <v>14</v>
      </c>
      <c r="Y88" s="5">
        <v>14</v>
      </c>
      <c r="Z88" s="5">
        <v>14</v>
      </c>
      <c r="AA88" s="5">
        <v>14</v>
      </c>
      <c r="AB88" s="5">
        <v>14</v>
      </c>
      <c r="AC88" s="5">
        <v>14</v>
      </c>
      <c r="AD88" s="5" t="s">
        <v>260</v>
      </c>
      <c r="AE88" s="19">
        <v>43465</v>
      </c>
      <c r="AF88" s="19">
        <v>43465</v>
      </c>
      <c r="AG88" s="10" t="s">
        <v>466</v>
      </c>
    </row>
    <row r="89" spans="1:33" x14ac:dyDescent="0.25">
      <c r="A89" s="5">
        <v>2018</v>
      </c>
      <c r="B89" s="3">
        <v>43282</v>
      </c>
      <c r="C89" s="19">
        <v>43465</v>
      </c>
      <c r="D89" s="5" t="s">
        <v>83</v>
      </c>
      <c r="E89" s="5" t="s">
        <v>247</v>
      </c>
      <c r="F89" s="5" t="s">
        <v>296</v>
      </c>
      <c r="G89" s="5" t="s">
        <v>296</v>
      </c>
      <c r="H89" s="5" t="s">
        <v>297</v>
      </c>
      <c r="I89" s="5" t="s">
        <v>298</v>
      </c>
      <c r="J89" s="5" t="s">
        <v>299</v>
      </c>
      <c r="K89" s="5" t="s">
        <v>300</v>
      </c>
      <c r="L89" s="5" t="s">
        <v>93</v>
      </c>
      <c r="M89">
        <f>34469.89+43947.92</f>
        <v>78417.81</v>
      </c>
      <c r="N89" s="5" t="s">
        <v>214</v>
      </c>
      <c r="O89">
        <f>31725.28+40186.08</f>
        <v>71911.360000000001</v>
      </c>
      <c r="P89" s="5" t="s">
        <v>214</v>
      </c>
      <c r="Q89" s="5">
        <v>15</v>
      </c>
      <c r="R89" s="5">
        <v>15</v>
      </c>
      <c r="S89" s="5">
        <v>15</v>
      </c>
      <c r="T89" s="5">
        <v>15</v>
      </c>
      <c r="U89" s="5">
        <v>15</v>
      </c>
      <c r="V89" s="5">
        <v>15</v>
      </c>
      <c r="W89" s="5">
        <v>15</v>
      </c>
      <c r="X89" s="5">
        <v>15</v>
      </c>
      <c r="Y89" s="5">
        <v>15</v>
      </c>
      <c r="Z89" s="5">
        <v>15</v>
      </c>
      <c r="AA89" s="5">
        <v>15</v>
      </c>
      <c r="AB89" s="5">
        <v>15</v>
      </c>
      <c r="AC89" s="5">
        <v>15</v>
      </c>
      <c r="AD89" s="5" t="s">
        <v>260</v>
      </c>
      <c r="AE89" s="19">
        <v>43465</v>
      </c>
      <c r="AF89" s="19">
        <v>43465</v>
      </c>
      <c r="AG89" s="10" t="s">
        <v>466</v>
      </c>
    </row>
    <row r="90" spans="1:33" x14ac:dyDescent="0.25">
      <c r="A90" s="5">
        <v>2018</v>
      </c>
      <c r="B90" s="3">
        <v>43282</v>
      </c>
      <c r="C90" s="19">
        <v>43465</v>
      </c>
      <c r="D90" s="5" t="s">
        <v>83</v>
      </c>
      <c r="E90" s="5" t="s">
        <v>247</v>
      </c>
      <c r="F90" s="5" t="s">
        <v>301</v>
      </c>
      <c r="G90" s="5" t="s">
        <v>301</v>
      </c>
      <c r="H90" s="5" t="s">
        <v>216</v>
      </c>
      <c r="I90" s="5" t="s">
        <v>302</v>
      </c>
      <c r="J90" s="5" t="s">
        <v>303</v>
      </c>
      <c r="K90" s="5" t="s">
        <v>304</v>
      </c>
      <c r="L90" s="5" t="s">
        <v>93</v>
      </c>
      <c r="M90">
        <f>40469.89+52614.29</f>
        <v>93084.18</v>
      </c>
      <c r="N90" s="5" t="s">
        <v>214</v>
      </c>
      <c r="O90">
        <f>37077.33+48201.53</f>
        <v>85278.86</v>
      </c>
      <c r="P90" s="5" t="s">
        <v>214</v>
      </c>
      <c r="Q90" s="5">
        <v>16</v>
      </c>
      <c r="R90" s="5">
        <v>16</v>
      </c>
      <c r="S90" s="5">
        <v>16</v>
      </c>
      <c r="T90" s="5">
        <v>16</v>
      </c>
      <c r="U90" s="5">
        <v>16</v>
      </c>
      <c r="V90" s="5">
        <v>16</v>
      </c>
      <c r="W90" s="5">
        <v>16</v>
      </c>
      <c r="X90" s="5">
        <v>16</v>
      </c>
      <c r="Y90" s="5">
        <v>16</v>
      </c>
      <c r="Z90" s="5">
        <v>16</v>
      </c>
      <c r="AA90" s="5">
        <v>16</v>
      </c>
      <c r="AB90" s="5">
        <v>16</v>
      </c>
      <c r="AC90" s="5">
        <v>16</v>
      </c>
      <c r="AD90" s="5" t="s">
        <v>260</v>
      </c>
      <c r="AE90" s="19">
        <v>43465</v>
      </c>
      <c r="AF90" s="19">
        <v>43465</v>
      </c>
      <c r="AG90" s="10" t="s">
        <v>466</v>
      </c>
    </row>
    <row r="91" spans="1:33" s="5" customFormat="1" x14ac:dyDescent="0.25">
      <c r="A91" s="5">
        <v>2018</v>
      </c>
      <c r="B91" s="3">
        <v>43282</v>
      </c>
      <c r="C91" s="19">
        <v>43465</v>
      </c>
      <c r="D91" s="5" t="s">
        <v>83</v>
      </c>
      <c r="E91" s="5" t="s">
        <v>247</v>
      </c>
      <c r="F91" s="5" t="s">
        <v>305</v>
      </c>
      <c r="G91" s="5" t="s">
        <v>305</v>
      </c>
      <c r="H91" s="5" t="s">
        <v>216</v>
      </c>
      <c r="I91" s="5" t="s">
        <v>306</v>
      </c>
      <c r="J91" s="5" t="s">
        <v>255</v>
      </c>
      <c r="K91" s="5" t="s">
        <v>307</v>
      </c>
      <c r="L91" s="5" t="s">
        <v>93</v>
      </c>
      <c r="M91" s="5">
        <v>13451.05</v>
      </c>
      <c r="N91" s="5" t="s">
        <v>214</v>
      </c>
      <c r="O91" s="5">
        <v>13306.23</v>
      </c>
      <c r="P91" s="5" t="s">
        <v>214</v>
      </c>
      <c r="Q91" s="5">
        <v>17</v>
      </c>
      <c r="R91" s="5">
        <v>17</v>
      </c>
      <c r="S91" s="5">
        <v>17</v>
      </c>
      <c r="T91" s="5">
        <v>17</v>
      </c>
      <c r="U91" s="5">
        <v>17</v>
      </c>
      <c r="V91" s="5">
        <v>17</v>
      </c>
      <c r="W91" s="5">
        <v>17</v>
      </c>
      <c r="X91" s="5">
        <v>17</v>
      </c>
      <c r="Y91" s="5">
        <v>17</v>
      </c>
      <c r="Z91" s="5">
        <v>17</v>
      </c>
      <c r="AA91" s="5">
        <v>17</v>
      </c>
      <c r="AB91" s="5">
        <v>17</v>
      </c>
      <c r="AC91" s="5">
        <v>17</v>
      </c>
      <c r="AD91" s="5" t="s">
        <v>260</v>
      </c>
      <c r="AE91" s="19">
        <v>43465</v>
      </c>
      <c r="AF91" s="19">
        <v>43465</v>
      </c>
      <c r="AG91" s="10" t="s">
        <v>466</v>
      </c>
    </row>
    <row r="92" spans="1:33" x14ac:dyDescent="0.25">
      <c r="A92" s="5">
        <v>2018</v>
      </c>
      <c r="B92" s="3">
        <v>43282</v>
      </c>
      <c r="C92" s="19">
        <v>43465</v>
      </c>
      <c r="D92" s="5" t="s">
        <v>82</v>
      </c>
      <c r="E92" s="5" t="s">
        <v>246</v>
      </c>
      <c r="F92" s="5" t="s">
        <v>217</v>
      </c>
      <c r="G92" s="5" t="s">
        <v>309</v>
      </c>
      <c r="H92" s="5" t="s">
        <v>216</v>
      </c>
      <c r="I92" s="5" t="s">
        <v>310</v>
      </c>
      <c r="J92" s="5" t="s">
        <v>273</v>
      </c>
      <c r="K92" s="5" t="s">
        <v>311</v>
      </c>
      <c r="L92" s="5" t="s">
        <v>93</v>
      </c>
      <c r="M92">
        <f>104811.13+150134.73</f>
        <v>254945.86000000002</v>
      </c>
      <c r="N92" s="5" t="s">
        <v>214</v>
      </c>
      <c r="O92">
        <f>82684.45+117916.65</f>
        <v>200601.09999999998</v>
      </c>
      <c r="P92" s="5" t="s">
        <v>214</v>
      </c>
      <c r="Q92" s="5">
        <v>18</v>
      </c>
      <c r="R92" s="5">
        <v>18</v>
      </c>
      <c r="S92" s="5">
        <v>18</v>
      </c>
      <c r="T92" s="5">
        <v>18</v>
      </c>
      <c r="U92" s="5">
        <v>18</v>
      </c>
      <c r="V92" s="5">
        <v>18</v>
      </c>
      <c r="W92" s="5">
        <v>18</v>
      </c>
      <c r="X92" s="5">
        <v>18</v>
      </c>
      <c r="Y92" s="5">
        <v>18</v>
      </c>
      <c r="Z92" s="5">
        <v>18</v>
      </c>
      <c r="AA92" s="5">
        <v>18</v>
      </c>
      <c r="AB92" s="5">
        <v>18</v>
      </c>
      <c r="AC92" s="5">
        <v>18</v>
      </c>
      <c r="AD92" s="5" t="s">
        <v>260</v>
      </c>
      <c r="AE92" s="19">
        <v>43465</v>
      </c>
      <c r="AF92" s="19">
        <v>43465</v>
      </c>
      <c r="AG92" s="10" t="s">
        <v>466</v>
      </c>
    </row>
    <row r="93" spans="1:33" x14ac:dyDescent="0.25">
      <c r="A93" s="5">
        <v>2018</v>
      </c>
      <c r="B93" s="3">
        <v>43282</v>
      </c>
      <c r="C93" s="19">
        <v>43465</v>
      </c>
      <c r="D93" s="5" t="s">
        <v>83</v>
      </c>
      <c r="E93" s="5" t="s">
        <v>247</v>
      </c>
      <c r="F93" s="5" t="s">
        <v>266</v>
      </c>
      <c r="G93" s="5" t="s">
        <v>266</v>
      </c>
      <c r="H93" s="5" t="s">
        <v>216</v>
      </c>
      <c r="I93" s="5" t="s">
        <v>312</v>
      </c>
      <c r="J93" s="5" t="s">
        <v>313</v>
      </c>
      <c r="K93" s="5" t="s">
        <v>314</v>
      </c>
      <c r="L93" s="5" t="s">
        <v>94</v>
      </c>
      <c r="M93">
        <f>27165.57+28217.72</f>
        <v>55383.29</v>
      </c>
      <c r="N93" s="5" t="s">
        <v>214</v>
      </c>
      <c r="O93">
        <f>25624.36+26510.64</f>
        <v>52135</v>
      </c>
      <c r="P93" s="5" t="s">
        <v>214</v>
      </c>
      <c r="Q93" s="5">
        <v>19</v>
      </c>
      <c r="R93" s="5">
        <v>19</v>
      </c>
      <c r="S93" s="5">
        <v>19</v>
      </c>
      <c r="T93" s="5">
        <v>19</v>
      </c>
      <c r="U93" s="5">
        <v>19</v>
      </c>
      <c r="V93" s="5">
        <v>19</v>
      </c>
      <c r="W93" s="5">
        <v>19</v>
      </c>
      <c r="X93" s="5">
        <v>19</v>
      </c>
      <c r="Y93" s="5">
        <v>19</v>
      </c>
      <c r="Z93" s="5">
        <v>19</v>
      </c>
      <c r="AA93" s="5">
        <v>19</v>
      </c>
      <c r="AB93" s="5">
        <v>19</v>
      </c>
      <c r="AC93" s="5">
        <v>19</v>
      </c>
      <c r="AD93" s="5" t="s">
        <v>260</v>
      </c>
      <c r="AE93" s="19">
        <v>43465</v>
      </c>
      <c r="AF93" s="19">
        <v>43465</v>
      </c>
      <c r="AG93" s="10" t="s">
        <v>466</v>
      </c>
    </row>
    <row r="94" spans="1:33" x14ac:dyDescent="0.25">
      <c r="A94" s="5">
        <v>2018</v>
      </c>
      <c r="B94" s="3">
        <v>43282</v>
      </c>
      <c r="C94" s="19">
        <v>43465</v>
      </c>
      <c r="D94" s="5" t="s">
        <v>83</v>
      </c>
      <c r="E94" s="5" t="s">
        <v>247</v>
      </c>
      <c r="F94" s="5" t="s">
        <v>289</v>
      </c>
      <c r="G94" s="5" t="s">
        <v>289</v>
      </c>
      <c r="H94" s="5" t="s">
        <v>216</v>
      </c>
      <c r="I94" s="5" t="s">
        <v>315</v>
      </c>
      <c r="J94" s="5" t="s">
        <v>316</v>
      </c>
      <c r="K94" s="5" t="s">
        <v>317</v>
      </c>
      <c r="L94" s="5" t="s">
        <v>93</v>
      </c>
      <c r="M94">
        <f>32157.16+43875.86</f>
        <v>76033.02</v>
      </c>
      <c r="N94" s="5" t="s">
        <v>214</v>
      </c>
      <c r="O94">
        <f>30150.95+41129.78</f>
        <v>71280.73</v>
      </c>
      <c r="P94" s="5" t="s">
        <v>214</v>
      </c>
      <c r="Q94" s="5">
        <v>20</v>
      </c>
      <c r="R94" s="5">
        <v>20</v>
      </c>
      <c r="S94" s="5">
        <v>20</v>
      </c>
      <c r="T94" s="5">
        <v>20</v>
      </c>
      <c r="U94" s="5">
        <v>20</v>
      </c>
      <c r="V94" s="5">
        <v>20</v>
      </c>
      <c r="W94" s="5">
        <v>20</v>
      </c>
      <c r="X94" s="5">
        <v>20</v>
      </c>
      <c r="Y94" s="5">
        <v>20</v>
      </c>
      <c r="Z94" s="5">
        <v>20</v>
      </c>
      <c r="AA94" s="5">
        <v>20</v>
      </c>
      <c r="AB94" s="5">
        <v>20</v>
      </c>
      <c r="AC94" s="5">
        <v>20</v>
      </c>
      <c r="AD94" s="5" t="s">
        <v>260</v>
      </c>
      <c r="AE94" s="19">
        <v>43465</v>
      </c>
      <c r="AF94" s="19">
        <v>43465</v>
      </c>
      <c r="AG94" s="10" t="s">
        <v>466</v>
      </c>
    </row>
    <row r="95" spans="1:33" x14ac:dyDescent="0.25">
      <c r="A95" s="5">
        <v>2018</v>
      </c>
      <c r="B95" s="3">
        <v>43282</v>
      </c>
      <c r="C95" s="19">
        <v>43465</v>
      </c>
      <c r="D95" s="5" t="s">
        <v>83</v>
      </c>
      <c r="E95" s="5" t="s">
        <v>247</v>
      </c>
      <c r="F95" s="5" t="s">
        <v>305</v>
      </c>
      <c r="G95" s="5" t="s">
        <v>305</v>
      </c>
      <c r="H95" s="5" t="s">
        <v>216</v>
      </c>
      <c r="I95" s="5" t="s">
        <v>318</v>
      </c>
      <c r="J95" s="5" t="s">
        <v>319</v>
      </c>
      <c r="K95" s="5" t="s">
        <v>320</v>
      </c>
      <c r="L95" s="5" t="s">
        <v>93</v>
      </c>
      <c r="M95">
        <f>32229.21+46941.1</f>
        <v>79170.31</v>
      </c>
      <c r="N95" s="5" t="s">
        <v>214</v>
      </c>
      <c r="O95">
        <f>28981.5+41371.71</f>
        <v>70353.209999999992</v>
      </c>
      <c r="P95" s="5" t="s">
        <v>214</v>
      </c>
      <c r="Q95" s="5">
        <v>21</v>
      </c>
      <c r="R95" s="5">
        <v>21</v>
      </c>
      <c r="S95" s="5">
        <v>21</v>
      </c>
      <c r="T95" s="5">
        <v>21</v>
      </c>
      <c r="U95" s="5">
        <v>21</v>
      </c>
      <c r="V95" s="5">
        <v>21</v>
      </c>
      <c r="W95" s="5">
        <v>21</v>
      </c>
      <c r="X95" s="5">
        <v>21</v>
      </c>
      <c r="Y95" s="5">
        <v>21</v>
      </c>
      <c r="Z95" s="5">
        <v>21</v>
      </c>
      <c r="AA95" s="5">
        <v>21</v>
      </c>
      <c r="AB95" s="5">
        <v>21</v>
      </c>
      <c r="AC95" s="5">
        <v>21</v>
      </c>
      <c r="AD95" s="5" t="s">
        <v>260</v>
      </c>
      <c r="AE95" s="19">
        <v>43465</v>
      </c>
      <c r="AF95" s="19">
        <v>43465</v>
      </c>
      <c r="AG95" s="10" t="s">
        <v>466</v>
      </c>
    </row>
    <row r="96" spans="1:33" x14ac:dyDescent="0.25">
      <c r="A96" s="5">
        <v>2018</v>
      </c>
      <c r="B96" s="3">
        <v>43282</v>
      </c>
      <c r="C96" s="19">
        <v>43465</v>
      </c>
      <c r="D96" s="5" t="s">
        <v>83</v>
      </c>
      <c r="E96" s="5" t="s">
        <v>247</v>
      </c>
      <c r="F96" s="5" t="s">
        <v>261</v>
      </c>
      <c r="G96" s="5" t="s">
        <v>262</v>
      </c>
      <c r="H96" s="5" t="s">
        <v>285</v>
      </c>
      <c r="I96" s="5" t="s">
        <v>321</v>
      </c>
      <c r="J96" s="5" t="s">
        <v>322</v>
      </c>
      <c r="K96" s="5" t="s">
        <v>323</v>
      </c>
      <c r="L96" s="5" t="s">
        <v>94</v>
      </c>
      <c r="M96">
        <f>30823.84+42875.86</f>
        <v>73699.7</v>
      </c>
      <c r="N96" s="5" t="s">
        <v>214</v>
      </c>
      <c r="O96">
        <f>28993.81+40282.98</f>
        <v>69276.790000000008</v>
      </c>
      <c r="P96" s="5" t="s">
        <v>214</v>
      </c>
      <c r="Q96" s="5">
        <v>22</v>
      </c>
      <c r="R96" s="5">
        <v>22</v>
      </c>
      <c r="S96" s="5">
        <v>22</v>
      </c>
      <c r="T96" s="5">
        <v>22</v>
      </c>
      <c r="U96" s="5">
        <v>22</v>
      </c>
      <c r="V96" s="5">
        <v>22</v>
      </c>
      <c r="W96" s="5">
        <v>22</v>
      </c>
      <c r="X96" s="5">
        <v>22</v>
      </c>
      <c r="Y96" s="5">
        <v>22</v>
      </c>
      <c r="Z96" s="5">
        <v>22</v>
      </c>
      <c r="AA96" s="5">
        <v>22</v>
      </c>
      <c r="AB96" s="5">
        <v>22</v>
      </c>
      <c r="AC96" s="5">
        <v>22</v>
      </c>
      <c r="AD96" s="5" t="s">
        <v>260</v>
      </c>
      <c r="AE96" s="19">
        <v>43465</v>
      </c>
      <c r="AF96" s="19">
        <v>43465</v>
      </c>
      <c r="AG96" s="10" t="s">
        <v>466</v>
      </c>
    </row>
    <row r="97" spans="1:33" x14ac:dyDescent="0.25">
      <c r="A97" s="5">
        <v>2018</v>
      </c>
      <c r="B97" s="3">
        <v>43282</v>
      </c>
      <c r="C97" s="19">
        <v>43465</v>
      </c>
      <c r="D97" s="5" t="s">
        <v>83</v>
      </c>
      <c r="E97" s="5" t="s">
        <v>247</v>
      </c>
      <c r="F97" s="5" t="s">
        <v>248</v>
      </c>
      <c r="G97" s="5" t="s">
        <v>324</v>
      </c>
      <c r="H97" s="5" t="s">
        <v>216</v>
      </c>
      <c r="I97" s="5" t="s">
        <v>325</v>
      </c>
      <c r="J97" s="5" t="s">
        <v>326</v>
      </c>
      <c r="K97" s="5" t="s">
        <v>327</v>
      </c>
      <c r="L97" s="5" t="s">
        <v>93</v>
      </c>
      <c r="M97">
        <v>32567.46</v>
      </c>
      <c r="N97" s="5" t="s">
        <v>214</v>
      </c>
      <c r="O97">
        <v>30660.91</v>
      </c>
      <c r="P97" s="5" t="s">
        <v>214</v>
      </c>
      <c r="Q97" s="5">
        <v>23</v>
      </c>
      <c r="R97" s="5">
        <v>23</v>
      </c>
      <c r="S97" s="5">
        <v>23</v>
      </c>
      <c r="T97" s="5">
        <v>23</v>
      </c>
      <c r="U97" s="5">
        <v>23</v>
      </c>
      <c r="V97" s="5">
        <v>23</v>
      </c>
      <c r="W97" s="5">
        <v>23</v>
      </c>
      <c r="X97" s="5">
        <v>23</v>
      </c>
      <c r="Y97" s="5">
        <v>23</v>
      </c>
      <c r="Z97" s="5">
        <v>23</v>
      </c>
      <c r="AA97" s="5">
        <v>23</v>
      </c>
      <c r="AB97" s="5">
        <v>23</v>
      </c>
      <c r="AC97" s="5">
        <v>23</v>
      </c>
      <c r="AD97" s="5" t="s">
        <v>260</v>
      </c>
      <c r="AE97" s="19">
        <v>43465</v>
      </c>
      <c r="AF97" s="19">
        <v>43465</v>
      </c>
      <c r="AG97" s="10" t="s">
        <v>466</v>
      </c>
    </row>
    <row r="98" spans="1:33" x14ac:dyDescent="0.25">
      <c r="A98" s="5">
        <v>2018</v>
      </c>
      <c r="B98" s="3">
        <v>43282</v>
      </c>
      <c r="C98" s="19">
        <v>43465</v>
      </c>
      <c r="D98" s="5" t="s">
        <v>82</v>
      </c>
      <c r="E98" s="5" t="s">
        <v>246</v>
      </c>
      <c r="F98" s="5" t="s">
        <v>217</v>
      </c>
      <c r="G98" s="5" t="s">
        <v>328</v>
      </c>
      <c r="H98" s="5" t="s">
        <v>216</v>
      </c>
      <c r="I98" s="5" t="s">
        <v>329</v>
      </c>
      <c r="J98" s="5" t="s">
        <v>330</v>
      </c>
      <c r="K98" s="5" t="s">
        <v>331</v>
      </c>
      <c r="L98" s="5" t="s">
        <v>94</v>
      </c>
      <c r="M98">
        <f>104811.13+150134.72</f>
        <v>254945.85</v>
      </c>
      <c r="N98" s="5" t="s">
        <v>214</v>
      </c>
      <c r="O98">
        <f>82684.45+117916.65</f>
        <v>200601.09999999998</v>
      </c>
      <c r="P98" s="5" t="s">
        <v>214</v>
      </c>
      <c r="Q98" s="5">
        <v>24</v>
      </c>
      <c r="R98" s="5">
        <v>24</v>
      </c>
      <c r="S98" s="5">
        <v>24</v>
      </c>
      <c r="T98" s="5">
        <v>24</v>
      </c>
      <c r="U98" s="5">
        <v>24</v>
      </c>
      <c r="V98" s="5">
        <v>24</v>
      </c>
      <c r="W98" s="5">
        <v>24</v>
      </c>
      <c r="X98" s="5">
        <v>24</v>
      </c>
      <c r="Y98" s="5">
        <v>24</v>
      </c>
      <c r="Z98" s="5">
        <v>24</v>
      </c>
      <c r="AA98" s="5">
        <v>24</v>
      </c>
      <c r="AB98" s="5">
        <v>24</v>
      </c>
      <c r="AC98" s="5">
        <v>24</v>
      </c>
      <c r="AD98" s="5" t="s">
        <v>260</v>
      </c>
      <c r="AE98" s="19">
        <v>43465</v>
      </c>
      <c r="AF98" s="19">
        <v>43465</v>
      </c>
      <c r="AG98" s="10" t="s">
        <v>466</v>
      </c>
    </row>
    <row r="99" spans="1:33" x14ac:dyDescent="0.25">
      <c r="A99" s="5">
        <v>2018</v>
      </c>
      <c r="B99" s="3">
        <v>43282</v>
      </c>
      <c r="C99" s="19">
        <v>43465</v>
      </c>
      <c r="D99" s="5" t="s">
        <v>83</v>
      </c>
      <c r="E99" s="5" t="s">
        <v>247</v>
      </c>
      <c r="F99" s="5" t="s">
        <v>253</v>
      </c>
      <c r="G99" s="5" t="s">
        <v>253</v>
      </c>
      <c r="H99" s="5" t="s">
        <v>216</v>
      </c>
      <c r="I99" s="5" t="s">
        <v>332</v>
      </c>
      <c r="J99" s="5" t="s">
        <v>333</v>
      </c>
      <c r="K99" s="5" t="s">
        <v>334</v>
      </c>
      <c r="L99" s="5" t="s">
        <v>93</v>
      </c>
      <c r="M99">
        <f>28398.17+38423.28</f>
        <v>66821.45</v>
      </c>
      <c r="N99" s="5" t="s">
        <v>214</v>
      </c>
      <c r="O99">
        <f>26647.85+35669.61</f>
        <v>62317.46</v>
      </c>
      <c r="P99" s="5" t="s">
        <v>214</v>
      </c>
      <c r="Q99" s="5">
        <v>25</v>
      </c>
      <c r="R99" s="5">
        <v>25</v>
      </c>
      <c r="S99" s="5">
        <v>25</v>
      </c>
      <c r="T99" s="5">
        <v>25</v>
      </c>
      <c r="U99" s="5">
        <v>25</v>
      </c>
      <c r="V99" s="5">
        <v>25</v>
      </c>
      <c r="W99" s="5">
        <v>25</v>
      </c>
      <c r="X99" s="5">
        <v>25</v>
      </c>
      <c r="Y99" s="5">
        <v>25</v>
      </c>
      <c r="Z99" s="5">
        <v>25</v>
      </c>
      <c r="AA99" s="5">
        <v>25</v>
      </c>
      <c r="AB99" s="5">
        <v>25</v>
      </c>
      <c r="AC99" s="5">
        <v>25</v>
      </c>
      <c r="AD99" s="5" t="s">
        <v>260</v>
      </c>
      <c r="AE99" s="19">
        <v>43465</v>
      </c>
      <c r="AF99" s="19">
        <v>43465</v>
      </c>
      <c r="AG99" s="10" t="s">
        <v>466</v>
      </c>
    </row>
    <row r="100" spans="1:33" x14ac:dyDescent="0.25">
      <c r="A100" s="5">
        <v>2018</v>
      </c>
      <c r="B100" s="3">
        <v>43282</v>
      </c>
      <c r="C100" s="19">
        <v>43465</v>
      </c>
      <c r="D100" s="5" t="s">
        <v>83</v>
      </c>
      <c r="E100" s="5" t="s">
        <v>247</v>
      </c>
      <c r="F100" s="5" t="s">
        <v>457</v>
      </c>
      <c r="G100" s="5" t="s">
        <v>460</v>
      </c>
      <c r="H100" s="5" t="s">
        <v>216</v>
      </c>
      <c r="I100" s="5" t="s">
        <v>336</v>
      </c>
      <c r="J100" s="5" t="s">
        <v>337</v>
      </c>
      <c r="K100" s="5" t="s">
        <v>338</v>
      </c>
      <c r="L100" s="5" t="s">
        <v>94</v>
      </c>
      <c r="M100">
        <f>37053.96+52639.05</f>
        <v>89693.010000000009</v>
      </c>
      <c r="N100" s="5" t="s">
        <v>214</v>
      </c>
      <c r="O100">
        <f>33575.9+47077.88</f>
        <v>80653.78</v>
      </c>
      <c r="P100" s="5" t="s">
        <v>214</v>
      </c>
      <c r="Q100" s="5">
        <v>26</v>
      </c>
      <c r="R100" s="5">
        <v>26</v>
      </c>
      <c r="S100" s="5">
        <v>26</v>
      </c>
      <c r="T100" s="5">
        <v>26</v>
      </c>
      <c r="U100" s="5">
        <v>26</v>
      </c>
      <c r="V100" s="5">
        <v>26</v>
      </c>
      <c r="W100" s="5">
        <v>26</v>
      </c>
      <c r="X100" s="5">
        <v>26</v>
      </c>
      <c r="Y100" s="5">
        <v>26</v>
      </c>
      <c r="Z100" s="5">
        <v>26</v>
      </c>
      <c r="AA100" s="5">
        <v>26</v>
      </c>
      <c r="AB100" s="5">
        <v>26</v>
      </c>
      <c r="AC100" s="5">
        <v>26</v>
      </c>
      <c r="AD100" s="5" t="s">
        <v>260</v>
      </c>
      <c r="AE100" s="19">
        <v>43465</v>
      </c>
      <c r="AF100" s="19">
        <v>43465</v>
      </c>
      <c r="AG100" s="10" t="s">
        <v>466</v>
      </c>
    </row>
    <row r="101" spans="1:33" x14ac:dyDescent="0.25">
      <c r="A101" s="5">
        <v>2018</v>
      </c>
      <c r="B101" s="3">
        <v>43282</v>
      </c>
      <c r="C101" s="19">
        <v>43465</v>
      </c>
      <c r="D101" s="5" t="s">
        <v>82</v>
      </c>
      <c r="E101" s="5" t="s">
        <v>247</v>
      </c>
      <c r="F101" s="5" t="s">
        <v>402</v>
      </c>
      <c r="G101" s="5" t="s">
        <v>339</v>
      </c>
      <c r="H101" s="5" t="s">
        <v>285</v>
      </c>
      <c r="I101" s="5" t="s">
        <v>340</v>
      </c>
      <c r="J101" s="5" t="s">
        <v>341</v>
      </c>
      <c r="K101" s="5" t="s">
        <v>342</v>
      </c>
      <c r="L101" s="5" t="s">
        <v>93</v>
      </c>
      <c r="M101">
        <f>83712.12+121222.62</f>
        <v>204934.74</v>
      </c>
      <c r="N101" s="5" t="s">
        <v>214</v>
      </c>
      <c r="O101">
        <f>67180.9+96412.93</f>
        <v>163593.82999999999</v>
      </c>
      <c r="P101" s="5" t="s">
        <v>214</v>
      </c>
      <c r="Q101" s="5">
        <v>27</v>
      </c>
      <c r="R101" s="5">
        <v>27</v>
      </c>
      <c r="S101" s="5">
        <v>27</v>
      </c>
      <c r="T101" s="5">
        <v>27</v>
      </c>
      <c r="U101" s="5">
        <v>27</v>
      </c>
      <c r="V101" s="5">
        <v>27</v>
      </c>
      <c r="W101" s="5">
        <v>27</v>
      </c>
      <c r="X101" s="5">
        <v>27</v>
      </c>
      <c r="Y101" s="5">
        <v>27</v>
      </c>
      <c r="Z101" s="5">
        <v>27</v>
      </c>
      <c r="AA101" s="5">
        <v>27</v>
      </c>
      <c r="AB101" s="5">
        <v>27</v>
      </c>
      <c r="AC101" s="5">
        <v>27</v>
      </c>
      <c r="AD101" s="5" t="s">
        <v>260</v>
      </c>
      <c r="AE101" s="19">
        <v>43465</v>
      </c>
      <c r="AF101" s="19">
        <v>43465</v>
      </c>
      <c r="AG101" s="10" t="s">
        <v>466</v>
      </c>
    </row>
    <row r="102" spans="1:33" x14ac:dyDescent="0.25">
      <c r="A102" s="5">
        <v>2018</v>
      </c>
      <c r="B102" s="3">
        <v>43282</v>
      </c>
      <c r="C102" s="19">
        <v>43465</v>
      </c>
      <c r="D102" s="5" t="s">
        <v>83</v>
      </c>
      <c r="E102" s="5" t="s">
        <v>247</v>
      </c>
      <c r="F102" s="5" t="s">
        <v>289</v>
      </c>
      <c r="G102" s="5" t="s">
        <v>289</v>
      </c>
      <c r="H102" s="5" t="s">
        <v>216</v>
      </c>
      <c r="I102" s="5" t="s">
        <v>345</v>
      </c>
      <c r="J102" s="5" t="s">
        <v>294</v>
      </c>
      <c r="K102" s="5" t="s">
        <v>346</v>
      </c>
      <c r="L102" s="5" t="s">
        <v>94</v>
      </c>
      <c r="M102">
        <f>26497.3+35700.4</f>
        <v>62197.7</v>
      </c>
      <c r="N102" s="5" t="s">
        <v>214</v>
      </c>
      <c r="O102">
        <f>25112.02+33401.2</f>
        <v>58513.22</v>
      </c>
      <c r="P102" s="5" t="s">
        <v>214</v>
      </c>
      <c r="Q102" s="5">
        <v>28</v>
      </c>
      <c r="R102" s="5">
        <v>28</v>
      </c>
      <c r="S102" s="5">
        <v>28</v>
      </c>
      <c r="T102" s="5">
        <v>28</v>
      </c>
      <c r="U102" s="5">
        <v>28</v>
      </c>
      <c r="V102" s="5">
        <v>28</v>
      </c>
      <c r="W102" s="5">
        <v>28</v>
      </c>
      <c r="X102" s="5">
        <v>28</v>
      </c>
      <c r="Y102" s="5">
        <v>28</v>
      </c>
      <c r="Z102" s="5">
        <v>28</v>
      </c>
      <c r="AA102" s="5">
        <v>28</v>
      </c>
      <c r="AB102" s="5">
        <v>28</v>
      </c>
      <c r="AC102" s="5">
        <v>28</v>
      </c>
      <c r="AD102" s="5" t="s">
        <v>260</v>
      </c>
      <c r="AE102" s="19">
        <v>43465</v>
      </c>
      <c r="AF102" s="19">
        <v>43465</v>
      </c>
      <c r="AG102" s="10" t="s">
        <v>466</v>
      </c>
    </row>
    <row r="103" spans="1:33" x14ac:dyDescent="0.25">
      <c r="A103" s="5">
        <v>2018</v>
      </c>
      <c r="B103" s="3">
        <v>43282</v>
      </c>
      <c r="C103" s="19">
        <v>43465</v>
      </c>
      <c r="D103" s="5" t="s">
        <v>83</v>
      </c>
      <c r="E103" s="5" t="s">
        <v>247</v>
      </c>
      <c r="F103" s="5" t="s">
        <v>248</v>
      </c>
      <c r="G103" s="5" t="s">
        <v>335</v>
      </c>
      <c r="H103" s="5" t="s">
        <v>216</v>
      </c>
      <c r="I103" s="5" t="s">
        <v>347</v>
      </c>
      <c r="J103" s="5" t="s">
        <v>294</v>
      </c>
      <c r="K103" s="5" t="s">
        <v>348</v>
      </c>
      <c r="L103" s="5" t="s">
        <v>93</v>
      </c>
      <c r="M103">
        <f>28026.51+37603.82</f>
        <v>65630.33</v>
      </c>
      <c r="N103" s="5" t="s">
        <v>214</v>
      </c>
      <c r="O103">
        <f>26327.25+34970.53</f>
        <v>61297.78</v>
      </c>
      <c r="P103" s="5" t="s">
        <v>214</v>
      </c>
      <c r="Q103" s="5">
        <v>29</v>
      </c>
      <c r="R103" s="5">
        <v>29</v>
      </c>
      <c r="S103" s="5">
        <v>29</v>
      </c>
      <c r="T103" s="5">
        <v>29</v>
      </c>
      <c r="U103" s="5">
        <v>29</v>
      </c>
      <c r="V103" s="5">
        <v>29</v>
      </c>
      <c r="W103" s="5">
        <v>29</v>
      </c>
      <c r="X103" s="5">
        <v>29</v>
      </c>
      <c r="Y103" s="5">
        <v>29</v>
      </c>
      <c r="Z103" s="5">
        <v>29</v>
      </c>
      <c r="AA103" s="5">
        <v>29</v>
      </c>
      <c r="AB103" s="5">
        <v>29</v>
      </c>
      <c r="AC103" s="5">
        <v>29</v>
      </c>
      <c r="AD103" s="5" t="s">
        <v>260</v>
      </c>
      <c r="AE103" s="19">
        <v>43465</v>
      </c>
      <c r="AF103" s="19">
        <v>43465</v>
      </c>
      <c r="AG103" s="10" t="s">
        <v>466</v>
      </c>
    </row>
    <row r="104" spans="1:33" x14ac:dyDescent="0.25">
      <c r="A104" s="5">
        <v>2018</v>
      </c>
      <c r="B104" s="3">
        <v>43282</v>
      </c>
      <c r="C104" s="19">
        <v>43465</v>
      </c>
      <c r="D104" s="5" t="s">
        <v>83</v>
      </c>
      <c r="E104" s="5" t="s">
        <v>247</v>
      </c>
      <c r="F104" s="5" t="s">
        <v>289</v>
      </c>
      <c r="G104" s="5" t="s">
        <v>289</v>
      </c>
      <c r="H104" s="5" t="s">
        <v>216</v>
      </c>
      <c r="I104" s="5" t="s">
        <v>353</v>
      </c>
      <c r="J104" s="5" t="s">
        <v>354</v>
      </c>
      <c r="K104" s="5" t="s">
        <v>355</v>
      </c>
      <c r="L104" s="5" t="s">
        <v>94</v>
      </c>
      <c r="M104">
        <f>25956.41+35159.51</f>
        <v>61115.92</v>
      </c>
      <c r="N104" s="5" t="s">
        <v>214</v>
      </c>
      <c r="O104">
        <f>24655.03+32944.21</f>
        <v>57599.24</v>
      </c>
      <c r="P104" s="5" t="s">
        <v>214</v>
      </c>
      <c r="Q104" s="5">
        <v>30</v>
      </c>
      <c r="R104" s="5">
        <v>30</v>
      </c>
      <c r="S104" s="5">
        <v>30</v>
      </c>
      <c r="T104" s="5">
        <v>30</v>
      </c>
      <c r="U104" s="5">
        <v>30</v>
      </c>
      <c r="V104" s="5">
        <v>30</v>
      </c>
      <c r="W104" s="5">
        <v>30</v>
      </c>
      <c r="X104" s="5">
        <v>30</v>
      </c>
      <c r="Y104" s="5">
        <v>30</v>
      </c>
      <c r="Z104" s="5">
        <v>30</v>
      </c>
      <c r="AA104" s="5">
        <v>30</v>
      </c>
      <c r="AB104" s="5">
        <v>30</v>
      </c>
      <c r="AC104" s="5">
        <v>30</v>
      </c>
      <c r="AD104" s="5" t="s">
        <v>260</v>
      </c>
      <c r="AE104" s="19">
        <v>43465</v>
      </c>
      <c r="AF104" s="19">
        <v>43465</v>
      </c>
      <c r="AG104" s="10" t="s">
        <v>466</v>
      </c>
    </row>
    <row r="105" spans="1:33" x14ac:dyDescent="0.25">
      <c r="A105" s="5">
        <v>2018</v>
      </c>
      <c r="B105" s="3">
        <v>43282</v>
      </c>
      <c r="C105" s="19">
        <v>43465</v>
      </c>
      <c r="D105" s="5" t="s">
        <v>83</v>
      </c>
      <c r="E105" s="5" t="s">
        <v>247</v>
      </c>
      <c r="F105" s="5" t="s">
        <v>266</v>
      </c>
      <c r="G105" s="5" t="s">
        <v>266</v>
      </c>
      <c r="H105" s="5" t="s">
        <v>285</v>
      </c>
      <c r="I105" s="5" t="s">
        <v>359</v>
      </c>
      <c r="J105" s="5" t="s">
        <v>311</v>
      </c>
      <c r="K105" s="5" t="s">
        <v>360</v>
      </c>
      <c r="L105" s="5" t="s">
        <v>94</v>
      </c>
      <c r="M105">
        <f>24333.75+32995.95</f>
        <v>57329.7</v>
      </c>
      <c r="N105" s="5" t="s">
        <v>214</v>
      </c>
      <c r="O105">
        <f>23293.83+31146.25</f>
        <v>54440.08</v>
      </c>
      <c r="P105" s="5" t="s">
        <v>214</v>
      </c>
      <c r="Q105" s="5">
        <v>31</v>
      </c>
      <c r="R105" s="5">
        <v>31</v>
      </c>
      <c r="S105" s="5">
        <v>31</v>
      </c>
      <c r="T105" s="5">
        <v>31</v>
      </c>
      <c r="U105" s="5">
        <v>31</v>
      </c>
      <c r="V105" s="5">
        <v>31</v>
      </c>
      <c r="W105" s="5">
        <v>31</v>
      </c>
      <c r="X105" s="5">
        <v>31</v>
      </c>
      <c r="Y105" s="5">
        <v>31</v>
      </c>
      <c r="Z105" s="5">
        <v>31</v>
      </c>
      <c r="AA105" s="5">
        <v>31</v>
      </c>
      <c r="AB105" s="5">
        <v>31</v>
      </c>
      <c r="AC105" s="5">
        <v>31</v>
      </c>
      <c r="AD105" s="5" t="s">
        <v>260</v>
      </c>
      <c r="AE105" s="19">
        <v>43465</v>
      </c>
      <c r="AF105" s="19">
        <v>43465</v>
      </c>
      <c r="AG105" s="10" t="s">
        <v>466</v>
      </c>
    </row>
    <row r="106" spans="1:33" x14ac:dyDescent="0.25">
      <c r="A106" s="5">
        <v>2018</v>
      </c>
      <c r="B106" s="3">
        <v>43282</v>
      </c>
      <c r="C106" s="19">
        <v>43465</v>
      </c>
      <c r="D106" s="5" t="s">
        <v>83</v>
      </c>
      <c r="E106" s="5" t="s">
        <v>247</v>
      </c>
      <c r="F106" s="5" t="s">
        <v>361</v>
      </c>
      <c r="G106" s="5" t="s">
        <v>361</v>
      </c>
      <c r="H106" s="5" t="s">
        <v>216</v>
      </c>
      <c r="I106" s="5" t="s">
        <v>362</v>
      </c>
      <c r="J106" s="5" t="s">
        <v>255</v>
      </c>
      <c r="K106" s="5" t="s">
        <v>220</v>
      </c>
      <c r="L106" s="5" t="s">
        <v>93</v>
      </c>
      <c r="M106">
        <f>25956.4+35159.5</f>
        <v>61115.9</v>
      </c>
      <c r="N106" s="5" t="s">
        <v>214</v>
      </c>
      <c r="O106">
        <f>24659.21+32964.44</f>
        <v>57623.65</v>
      </c>
      <c r="P106" s="5" t="s">
        <v>214</v>
      </c>
      <c r="Q106" s="5">
        <v>32</v>
      </c>
      <c r="R106" s="5">
        <v>32</v>
      </c>
      <c r="S106" s="5">
        <v>32</v>
      </c>
      <c r="T106" s="5">
        <v>32</v>
      </c>
      <c r="U106" s="5">
        <v>32</v>
      </c>
      <c r="V106" s="5">
        <v>32</v>
      </c>
      <c r="W106" s="5">
        <v>32</v>
      </c>
      <c r="X106" s="5">
        <v>32</v>
      </c>
      <c r="Y106" s="5">
        <v>32</v>
      </c>
      <c r="Z106" s="5">
        <v>32</v>
      </c>
      <c r="AA106" s="5">
        <v>32</v>
      </c>
      <c r="AB106" s="5">
        <v>32</v>
      </c>
      <c r="AC106" s="5">
        <v>32</v>
      </c>
      <c r="AD106" s="5" t="s">
        <v>260</v>
      </c>
      <c r="AE106" s="19">
        <v>43465</v>
      </c>
      <c r="AF106" s="19">
        <v>43465</v>
      </c>
      <c r="AG106" s="10" t="s">
        <v>466</v>
      </c>
    </row>
    <row r="107" spans="1:33" x14ac:dyDescent="0.25">
      <c r="A107" s="5">
        <v>2018</v>
      </c>
      <c r="B107" s="3">
        <v>43282</v>
      </c>
      <c r="C107" s="19">
        <v>43465</v>
      </c>
      <c r="D107" s="5" t="s">
        <v>83</v>
      </c>
      <c r="E107" s="5" t="s">
        <v>247</v>
      </c>
      <c r="F107" s="5" t="s">
        <v>363</v>
      </c>
      <c r="G107" s="5" t="s">
        <v>363</v>
      </c>
      <c r="H107" s="5" t="s">
        <v>364</v>
      </c>
      <c r="I107" s="5" t="s">
        <v>365</v>
      </c>
      <c r="J107" s="5" t="s">
        <v>366</v>
      </c>
      <c r="K107" s="5" t="s">
        <v>264</v>
      </c>
      <c r="L107" s="5" t="s">
        <v>93</v>
      </c>
      <c r="M107">
        <f>28571.1+35700.4</f>
        <v>64271.5</v>
      </c>
      <c r="N107" s="5" t="s">
        <v>214</v>
      </c>
      <c r="O107">
        <f>26411.63+33401.2</f>
        <v>59812.83</v>
      </c>
      <c r="P107" s="5" t="s">
        <v>214</v>
      </c>
      <c r="Q107" s="5">
        <v>33</v>
      </c>
      <c r="R107" s="5">
        <v>33</v>
      </c>
      <c r="S107" s="5">
        <v>33</v>
      </c>
      <c r="T107" s="5">
        <v>33</v>
      </c>
      <c r="U107" s="5">
        <v>33</v>
      </c>
      <c r="V107" s="5">
        <v>33</v>
      </c>
      <c r="W107" s="5">
        <v>33</v>
      </c>
      <c r="X107" s="5">
        <v>33</v>
      </c>
      <c r="Y107" s="5">
        <v>33</v>
      </c>
      <c r="Z107" s="5">
        <v>33</v>
      </c>
      <c r="AA107" s="5">
        <v>33</v>
      </c>
      <c r="AB107" s="5">
        <v>33</v>
      </c>
      <c r="AC107" s="5">
        <v>33</v>
      </c>
      <c r="AD107" s="5" t="s">
        <v>260</v>
      </c>
      <c r="AE107" s="19">
        <v>43465</v>
      </c>
      <c r="AF107" s="19">
        <v>43465</v>
      </c>
      <c r="AG107" s="10" t="s">
        <v>466</v>
      </c>
    </row>
    <row r="108" spans="1:33" x14ac:dyDescent="0.25">
      <c r="A108" s="5">
        <v>2018</v>
      </c>
      <c r="B108" s="3">
        <v>43282</v>
      </c>
      <c r="C108" s="19">
        <v>43465</v>
      </c>
      <c r="D108" s="5" t="s">
        <v>83</v>
      </c>
      <c r="E108" s="5" t="s">
        <v>247</v>
      </c>
      <c r="F108" s="5" t="s">
        <v>367</v>
      </c>
      <c r="G108" s="5" t="s">
        <v>367</v>
      </c>
      <c r="H108" s="5" t="s">
        <v>216</v>
      </c>
      <c r="I108" s="5" t="s">
        <v>368</v>
      </c>
      <c r="J108" s="5" t="s">
        <v>255</v>
      </c>
      <c r="K108" s="5" t="s">
        <v>299</v>
      </c>
      <c r="L108" s="5" t="s">
        <v>93</v>
      </c>
      <c r="M108">
        <f>31576.89+43295.2</f>
        <v>74872.09</v>
      </c>
      <c r="N108" s="5" t="s">
        <v>214</v>
      </c>
      <c r="O108">
        <f>29005.37+39707.68</f>
        <v>68713.05</v>
      </c>
      <c r="P108" s="5" t="s">
        <v>214</v>
      </c>
      <c r="Q108" s="5">
        <v>34</v>
      </c>
      <c r="R108" s="5">
        <v>34</v>
      </c>
      <c r="S108" s="5">
        <v>34</v>
      </c>
      <c r="T108" s="5">
        <v>34</v>
      </c>
      <c r="U108" s="5">
        <v>34</v>
      </c>
      <c r="V108" s="5">
        <v>34</v>
      </c>
      <c r="W108" s="5">
        <v>34</v>
      </c>
      <c r="X108" s="5">
        <v>34</v>
      </c>
      <c r="Y108" s="5">
        <v>34</v>
      </c>
      <c r="Z108" s="5">
        <v>34</v>
      </c>
      <c r="AA108" s="5">
        <v>34</v>
      </c>
      <c r="AB108" s="5">
        <v>34</v>
      </c>
      <c r="AC108" s="5">
        <v>34</v>
      </c>
      <c r="AD108" s="5" t="s">
        <v>260</v>
      </c>
      <c r="AE108" s="19">
        <v>43465</v>
      </c>
      <c r="AF108" s="19">
        <v>43465</v>
      </c>
      <c r="AG108" s="10" t="s">
        <v>466</v>
      </c>
    </row>
    <row r="109" spans="1:33" x14ac:dyDescent="0.25">
      <c r="A109" s="5">
        <v>2018</v>
      </c>
      <c r="B109" s="3">
        <v>43282</v>
      </c>
      <c r="C109" s="19">
        <v>43465</v>
      </c>
      <c r="D109" s="5" t="s">
        <v>83</v>
      </c>
      <c r="E109" s="5" t="s">
        <v>247</v>
      </c>
      <c r="F109" s="5" t="s">
        <v>363</v>
      </c>
      <c r="G109" s="5" t="s">
        <v>369</v>
      </c>
      <c r="H109" s="5" t="s">
        <v>297</v>
      </c>
      <c r="I109" s="5" t="s">
        <v>370</v>
      </c>
      <c r="J109" s="5" t="s">
        <v>371</v>
      </c>
      <c r="K109" s="5" t="s">
        <v>372</v>
      </c>
      <c r="L109" s="5" t="s">
        <v>94</v>
      </c>
      <c r="M109">
        <f>32243.57+43961.87</f>
        <v>76205.440000000002</v>
      </c>
      <c r="N109" s="5" t="s">
        <v>214</v>
      </c>
      <c r="O109">
        <f>29484.91+40170.78</f>
        <v>69655.69</v>
      </c>
      <c r="P109" s="5" t="s">
        <v>214</v>
      </c>
      <c r="Q109" s="5">
        <v>35</v>
      </c>
      <c r="R109" s="5">
        <v>35</v>
      </c>
      <c r="S109" s="5">
        <v>35</v>
      </c>
      <c r="T109" s="5">
        <v>35</v>
      </c>
      <c r="U109" s="5">
        <v>35</v>
      </c>
      <c r="V109" s="5">
        <v>35</v>
      </c>
      <c r="W109" s="5">
        <v>35</v>
      </c>
      <c r="X109" s="5">
        <v>35</v>
      </c>
      <c r="Y109" s="5">
        <v>35</v>
      </c>
      <c r="Z109" s="5">
        <v>35</v>
      </c>
      <c r="AA109" s="5">
        <v>35</v>
      </c>
      <c r="AB109" s="5">
        <v>35</v>
      </c>
      <c r="AC109" s="5">
        <v>35</v>
      </c>
      <c r="AD109" s="5" t="s">
        <v>260</v>
      </c>
      <c r="AE109" s="19">
        <v>43465</v>
      </c>
      <c r="AF109" s="19">
        <v>43465</v>
      </c>
      <c r="AG109" s="10" t="s">
        <v>466</v>
      </c>
    </row>
    <row r="110" spans="1:33" x14ac:dyDescent="0.25">
      <c r="A110" s="5">
        <v>2018</v>
      </c>
      <c r="B110" s="3">
        <v>43282</v>
      </c>
      <c r="C110" s="19">
        <v>43465</v>
      </c>
      <c r="D110" s="5" t="s">
        <v>83</v>
      </c>
      <c r="E110" s="5" t="s">
        <v>247</v>
      </c>
      <c r="F110" s="5" t="s">
        <v>343</v>
      </c>
      <c r="G110" s="5" t="s">
        <v>343</v>
      </c>
      <c r="H110" s="5" t="s">
        <v>216</v>
      </c>
      <c r="I110" s="5" t="s">
        <v>373</v>
      </c>
      <c r="J110" s="5" t="s">
        <v>264</v>
      </c>
      <c r="K110" s="5" t="s">
        <v>374</v>
      </c>
      <c r="L110" s="5" t="s">
        <v>94</v>
      </c>
      <c r="M110">
        <f>26497.3+35700.4</f>
        <v>62197.7</v>
      </c>
      <c r="N110" s="5" t="s">
        <v>214</v>
      </c>
      <c r="O110">
        <f>25112.02+33401.2</f>
        <v>58513.22</v>
      </c>
      <c r="P110" s="5" t="s">
        <v>214</v>
      </c>
      <c r="Q110" s="5">
        <v>36</v>
      </c>
      <c r="R110" s="5">
        <v>36</v>
      </c>
      <c r="S110" s="5">
        <v>36</v>
      </c>
      <c r="T110" s="5">
        <v>36</v>
      </c>
      <c r="U110" s="5">
        <v>36</v>
      </c>
      <c r="V110" s="5">
        <v>36</v>
      </c>
      <c r="W110" s="5">
        <v>36</v>
      </c>
      <c r="X110" s="5">
        <v>36</v>
      </c>
      <c r="Y110" s="5">
        <v>36</v>
      </c>
      <c r="Z110" s="5">
        <v>36</v>
      </c>
      <c r="AA110" s="5">
        <v>36</v>
      </c>
      <c r="AB110" s="5">
        <v>36</v>
      </c>
      <c r="AC110" s="5">
        <v>36</v>
      </c>
      <c r="AD110" s="5" t="s">
        <v>260</v>
      </c>
      <c r="AE110" s="19">
        <v>43465</v>
      </c>
      <c r="AF110" s="19">
        <v>43465</v>
      </c>
      <c r="AG110" s="10" t="s">
        <v>466</v>
      </c>
    </row>
    <row r="111" spans="1:33" x14ac:dyDescent="0.25">
      <c r="A111" s="5">
        <v>2018</v>
      </c>
      <c r="B111" s="3">
        <v>43282</v>
      </c>
      <c r="C111" s="19">
        <v>43465</v>
      </c>
      <c r="D111" s="5" t="s">
        <v>83</v>
      </c>
      <c r="E111" s="5" t="s">
        <v>247</v>
      </c>
      <c r="F111" s="5" t="s">
        <v>343</v>
      </c>
      <c r="G111" s="5" t="s">
        <v>343</v>
      </c>
      <c r="H111" s="5" t="s">
        <v>216</v>
      </c>
      <c r="I111" s="5" t="s">
        <v>375</v>
      </c>
      <c r="J111" s="5" t="s">
        <v>264</v>
      </c>
      <c r="K111" s="5" t="s">
        <v>376</v>
      </c>
      <c r="L111" s="5" t="s">
        <v>94</v>
      </c>
      <c r="M111">
        <v>16851.7</v>
      </c>
      <c r="N111" s="5" t="s">
        <v>214</v>
      </c>
      <c r="O111">
        <v>15984.67</v>
      </c>
      <c r="P111" s="5" t="s">
        <v>214</v>
      </c>
      <c r="Q111" s="5">
        <v>37</v>
      </c>
      <c r="R111" s="5">
        <v>37</v>
      </c>
      <c r="S111" s="5">
        <v>37</v>
      </c>
      <c r="T111" s="5">
        <v>37</v>
      </c>
      <c r="U111" s="5">
        <v>37</v>
      </c>
      <c r="V111" s="5">
        <v>37</v>
      </c>
      <c r="W111" s="5">
        <v>37</v>
      </c>
      <c r="X111" s="5">
        <v>37</v>
      </c>
      <c r="Y111" s="5">
        <v>37</v>
      </c>
      <c r="Z111" s="5">
        <v>37</v>
      </c>
      <c r="AA111" s="5">
        <v>37</v>
      </c>
      <c r="AB111" s="5">
        <v>37</v>
      </c>
      <c r="AC111" s="5">
        <v>37</v>
      </c>
      <c r="AD111" s="5" t="s">
        <v>260</v>
      </c>
      <c r="AE111" s="19">
        <v>43465</v>
      </c>
      <c r="AF111" s="19">
        <v>43465</v>
      </c>
      <c r="AG111" s="10" t="s">
        <v>466</v>
      </c>
    </row>
    <row r="112" spans="1:33" x14ac:dyDescent="0.25">
      <c r="A112" s="5">
        <v>2018</v>
      </c>
      <c r="B112" s="3">
        <v>43282</v>
      </c>
      <c r="C112" s="19">
        <v>43465</v>
      </c>
      <c r="D112" s="5" t="s">
        <v>83</v>
      </c>
      <c r="E112" s="5" t="s">
        <v>247</v>
      </c>
      <c r="F112" s="5" t="s">
        <v>266</v>
      </c>
      <c r="G112" s="5" t="s">
        <v>266</v>
      </c>
      <c r="H112" s="5" t="s">
        <v>216</v>
      </c>
      <c r="I112" s="5" t="s">
        <v>377</v>
      </c>
      <c r="J112" s="5" t="s">
        <v>378</v>
      </c>
      <c r="K112" s="5" t="s">
        <v>379</v>
      </c>
      <c r="L112" s="5" t="s">
        <v>93</v>
      </c>
      <c r="M112">
        <f>26497.3+35700.4</f>
        <v>62197.7</v>
      </c>
      <c r="N112" s="5" t="s">
        <v>214</v>
      </c>
      <c r="O112">
        <f>25112.02+33401.2</f>
        <v>58513.22</v>
      </c>
      <c r="P112" s="5" t="s">
        <v>214</v>
      </c>
      <c r="Q112" s="5">
        <v>38</v>
      </c>
      <c r="R112" s="5">
        <v>38</v>
      </c>
      <c r="S112" s="5">
        <v>38</v>
      </c>
      <c r="T112" s="5">
        <v>38</v>
      </c>
      <c r="U112" s="5">
        <v>38</v>
      </c>
      <c r="V112" s="5">
        <v>38</v>
      </c>
      <c r="W112" s="5">
        <v>38</v>
      </c>
      <c r="X112" s="5">
        <v>38</v>
      </c>
      <c r="Y112" s="5">
        <v>38</v>
      </c>
      <c r="Z112" s="5">
        <v>38</v>
      </c>
      <c r="AA112" s="5">
        <v>38</v>
      </c>
      <c r="AB112" s="5">
        <v>38</v>
      </c>
      <c r="AC112" s="5">
        <v>38</v>
      </c>
      <c r="AD112" s="5" t="s">
        <v>260</v>
      </c>
      <c r="AE112" s="19">
        <v>43465</v>
      </c>
      <c r="AF112" s="19">
        <v>43465</v>
      </c>
      <c r="AG112" s="10" t="s">
        <v>466</v>
      </c>
    </row>
    <row r="113" spans="1:33" x14ac:dyDescent="0.25">
      <c r="A113" s="5">
        <v>2018</v>
      </c>
      <c r="B113" s="3">
        <v>43282</v>
      </c>
      <c r="C113" s="19">
        <v>43465</v>
      </c>
      <c r="D113" s="5" t="s">
        <v>83</v>
      </c>
      <c r="E113" s="5" t="s">
        <v>247</v>
      </c>
      <c r="F113" s="5" t="s">
        <v>266</v>
      </c>
      <c r="G113" s="5" t="s">
        <v>413</v>
      </c>
      <c r="H113" s="5" t="s">
        <v>216</v>
      </c>
      <c r="I113" s="5" t="s">
        <v>380</v>
      </c>
      <c r="J113" s="5" t="s">
        <v>382</v>
      </c>
      <c r="K113" s="5" t="s">
        <v>381</v>
      </c>
      <c r="L113" s="5" t="s">
        <v>94</v>
      </c>
      <c r="M113">
        <f>26418.91+34889.05</f>
        <v>61307.960000000006</v>
      </c>
      <c r="N113" s="5" t="s">
        <v>214</v>
      </c>
      <c r="O113">
        <f>25117.53+32746.06</f>
        <v>57863.59</v>
      </c>
      <c r="P113" s="5" t="s">
        <v>214</v>
      </c>
      <c r="Q113" s="5">
        <v>39</v>
      </c>
      <c r="R113" s="5">
        <v>39</v>
      </c>
      <c r="S113" s="5">
        <v>39</v>
      </c>
      <c r="T113" s="5">
        <v>39</v>
      </c>
      <c r="U113" s="5">
        <v>39</v>
      </c>
      <c r="V113" s="5">
        <v>39</v>
      </c>
      <c r="W113" s="5">
        <v>39</v>
      </c>
      <c r="X113" s="5">
        <v>39</v>
      </c>
      <c r="Y113" s="5">
        <v>39</v>
      </c>
      <c r="Z113" s="5">
        <v>39</v>
      </c>
      <c r="AA113" s="5">
        <v>39</v>
      </c>
      <c r="AB113" s="5">
        <v>39</v>
      </c>
      <c r="AC113" s="5">
        <v>39</v>
      </c>
      <c r="AD113" s="5" t="s">
        <v>260</v>
      </c>
      <c r="AE113" s="19">
        <v>43465</v>
      </c>
      <c r="AF113" s="19">
        <v>43465</v>
      </c>
      <c r="AG113" s="10" t="s">
        <v>466</v>
      </c>
    </row>
    <row r="114" spans="1:33" x14ac:dyDescent="0.25">
      <c r="A114" s="5">
        <v>2018</v>
      </c>
      <c r="B114" s="3">
        <v>43282</v>
      </c>
      <c r="C114" s="19">
        <v>43465</v>
      </c>
      <c r="D114" s="5" t="s">
        <v>83</v>
      </c>
      <c r="E114" s="5" t="s">
        <v>247</v>
      </c>
      <c r="F114" s="5" t="s">
        <v>383</v>
      </c>
      <c r="G114" s="5" t="s">
        <v>383</v>
      </c>
      <c r="H114" s="5" t="s">
        <v>285</v>
      </c>
      <c r="I114" s="5" t="s">
        <v>384</v>
      </c>
      <c r="J114" s="5" t="s">
        <v>385</v>
      </c>
      <c r="K114" s="5" t="s">
        <v>386</v>
      </c>
      <c r="L114" s="5" t="s">
        <v>94</v>
      </c>
      <c r="M114">
        <f>26497.3+35700.4</f>
        <v>62197.7</v>
      </c>
      <c r="N114" s="5" t="s">
        <v>214</v>
      </c>
      <c r="O114">
        <f>25112.02+33401.2</f>
        <v>58513.22</v>
      </c>
      <c r="P114" s="5" t="s">
        <v>214</v>
      </c>
      <c r="Q114" s="5">
        <v>40</v>
      </c>
      <c r="R114" s="5">
        <v>40</v>
      </c>
      <c r="S114" s="5">
        <v>40</v>
      </c>
      <c r="T114" s="5">
        <v>40</v>
      </c>
      <c r="U114" s="5">
        <v>40</v>
      </c>
      <c r="V114" s="5">
        <v>40</v>
      </c>
      <c r="W114" s="5">
        <v>40</v>
      </c>
      <c r="X114" s="5">
        <v>40</v>
      </c>
      <c r="Y114" s="5">
        <v>40</v>
      </c>
      <c r="Z114" s="5">
        <v>40</v>
      </c>
      <c r="AA114" s="5">
        <v>40</v>
      </c>
      <c r="AB114" s="5">
        <v>40</v>
      </c>
      <c r="AC114" s="5">
        <v>40</v>
      </c>
      <c r="AD114" s="5" t="s">
        <v>260</v>
      </c>
      <c r="AE114" s="19">
        <v>43465</v>
      </c>
      <c r="AF114" s="19">
        <v>43465</v>
      </c>
      <c r="AG114" s="10" t="s">
        <v>466</v>
      </c>
    </row>
    <row r="115" spans="1:33" x14ac:dyDescent="0.25">
      <c r="A115" s="5">
        <v>2018</v>
      </c>
      <c r="B115" s="3">
        <v>43282</v>
      </c>
      <c r="C115" s="19">
        <v>43465</v>
      </c>
      <c r="D115" s="5" t="s">
        <v>83</v>
      </c>
      <c r="E115" s="5" t="s">
        <v>247</v>
      </c>
      <c r="F115" s="5" t="s">
        <v>248</v>
      </c>
      <c r="G115" s="5" t="s">
        <v>387</v>
      </c>
      <c r="H115" s="5" t="s">
        <v>216</v>
      </c>
      <c r="I115" s="5" t="s">
        <v>388</v>
      </c>
      <c r="J115" s="5" t="s">
        <v>389</v>
      </c>
      <c r="K115" s="5" t="s">
        <v>390</v>
      </c>
      <c r="L115" s="5" t="s">
        <v>94</v>
      </c>
      <c r="M115">
        <f>44253.95+61305.86</f>
        <v>105559.81</v>
      </c>
      <c r="N115" s="5" t="s">
        <v>214</v>
      </c>
      <c r="O115">
        <f>39898.41+55076.39</f>
        <v>94974.8</v>
      </c>
      <c r="P115" s="5" t="s">
        <v>214</v>
      </c>
      <c r="Q115" s="5">
        <v>41</v>
      </c>
      <c r="R115" s="5">
        <v>41</v>
      </c>
      <c r="S115" s="5">
        <v>41</v>
      </c>
      <c r="T115" s="5">
        <v>41</v>
      </c>
      <c r="U115" s="5">
        <v>41</v>
      </c>
      <c r="V115" s="5">
        <v>41</v>
      </c>
      <c r="W115" s="5">
        <v>41</v>
      </c>
      <c r="X115" s="5">
        <v>41</v>
      </c>
      <c r="Y115" s="5">
        <v>41</v>
      </c>
      <c r="Z115" s="5">
        <v>41</v>
      </c>
      <c r="AA115" s="5">
        <v>41</v>
      </c>
      <c r="AB115" s="5">
        <v>41</v>
      </c>
      <c r="AC115" s="5">
        <v>41</v>
      </c>
      <c r="AD115" s="5" t="s">
        <v>260</v>
      </c>
      <c r="AE115" s="19">
        <v>43465</v>
      </c>
      <c r="AF115" s="19">
        <v>43465</v>
      </c>
      <c r="AG115" s="10" t="s">
        <v>466</v>
      </c>
    </row>
    <row r="116" spans="1:33" x14ac:dyDescent="0.25">
      <c r="A116" s="5">
        <v>2018</v>
      </c>
      <c r="B116" s="3">
        <v>43282</v>
      </c>
      <c r="C116" s="19">
        <v>43465</v>
      </c>
      <c r="D116" s="5" t="s">
        <v>83</v>
      </c>
      <c r="E116" s="5" t="s">
        <v>247</v>
      </c>
      <c r="F116" s="5" t="s">
        <v>284</v>
      </c>
      <c r="G116" s="5" t="s">
        <v>284</v>
      </c>
      <c r="H116" s="5" t="s">
        <v>285</v>
      </c>
      <c r="I116" s="5" t="s">
        <v>395</v>
      </c>
      <c r="J116" s="5" t="s">
        <v>338</v>
      </c>
      <c r="K116" s="5" t="s">
        <v>330</v>
      </c>
      <c r="L116" s="5" t="s">
        <v>93</v>
      </c>
      <c r="M116">
        <v>29651.67</v>
      </c>
      <c r="N116" s="5" t="s">
        <v>214</v>
      </c>
      <c r="O116">
        <v>28472.7</v>
      </c>
      <c r="P116" s="5" t="s">
        <v>214</v>
      </c>
      <c r="Q116" s="5">
        <v>42</v>
      </c>
      <c r="R116" s="5">
        <v>42</v>
      </c>
      <c r="S116" s="5">
        <v>42</v>
      </c>
      <c r="T116" s="5">
        <v>42</v>
      </c>
      <c r="U116" s="5">
        <v>42</v>
      </c>
      <c r="V116" s="5">
        <v>42</v>
      </c>
      <c r="W116" s="5">
        <v>42</v>
      </c>
      <c r="X116" s="5">
        <v>42</v>
      </c>
      <c r="Y116" s="5">
        <v>42</v>
      </c>
      <c r="Z116" s="5">
        <v>42</v>
      </c>
      <c r="AA116" s="5">
        <v>42</v>
      </c>
      <c r="AB116" s="5">
        <v>42</v>
      </c>
      <c r="AC116" s="5">
        <v>42</v>
      </c>
      <c r="AD116" s="5" t="s">
        <v>260</v>
      </c>
      <c r="AE116" s="19">
        <v>43465</v>
      </c>
      <c r="AF116" s="19">
        <v>43465</v>
      </c>
      <c r="AG116" s="10" t="s">
        <v>466</v>
      </c>
    </row>
    <row r="117" spans="1:33" x14ac:dyDescent="0.25">
      <c r="A117" s="5">
        <v>2018</v>
      </c>
      <c r="B117" s="3">
        <v>43282</v>
      </c>
      <c r="C117" s="19">
        <v>43465</v>
      </c>
      <c r="D117" s="5" t="s">
        <v>83</v>
      </c>
      <c r="E117" s="5" t="s">
        <v>247</v>
      </c>
      <c r="F117" s="5" t="s">
        <v>270</v>
      </c>
      <c r="G117" s="5" t="s">
        <v>270</v>
      </c>
      <c r="H117" s="5" t="s">
        <v>216</v>
      </c>
      <c r="I117" s="5" t="s">
        <v>396</v>
      </c>
      <c r="J117" s="5" t="s">
        <v>397</v>
      </c>
      <c r="K117" s="5" t="s">
        <v>398</v>
      </c>
      <c r="L117" s="5" t="s">
        <v>93</v>
      </c>
      <c r="M117">
        <f>26497.3+35700.4</f>
        <v>62197.7</v>
      </c>
      <c r="N117" s="5" t="s">
        <v>214</v>
      </c>
      <c r="O117">
        <f>25112.02+33401.2</f>
        <v>58513.22</v>
      </c>
      <c r="P117" s="5" t="s">
        <v>214</v>
      </c>
      <c r="Q117" s="5">
        <v>43</v>
      </c>
      <c r="R117" s="5">
        <v>43</v>
      </c>
      <c r="S117" s="5">
        <v>43</v>
      </c>
      <c r="T117" s="5">
        <v>43</v>
      </c>
      <c r="U117" s="5">
        <v>43</v>
      </c>
      <c r="V117" s="5">
        <v>43</v>
      </c>
      <c r="W117" s="5">
        <v>43</v>
      </c>
      <c r="X117" s="5">
        <v>43</v>
      </c>
      <c r="Y117" s="5">
        <v>43</v>
      </c>
      <c r="Z117" s="5">
        <v>43</v>
      </c>
      <c r="AA117" s="5">
        <v>43</v>
      </c>
      <c r="AB117" s="5">
        <v>43</v>
      </c>
      <c r="AC117" s="5">
        <v>43</v>
      </c>
      <c r="AD117" s="5" t="s">
        <v>260</v>
      </c>
      <c r="AE117" s="19">
        <v>43465</v>
      </c>
      <c r="AF117" s="19">
        <v>43465</v>
      </c>
      <c r="AG117" s="10" t="s">
        <v>466</v>
      </c>
    </row>
    <row r="118" spans="1:33" x14ac:dyDescent="0.25">
      <c r="A118" s="5">
        <v>2018</v>
      </c>
      <c r="B118" s="3">
        <v>43282</v>
      </c>
      <c r="C118" s="19">
        <v>43465</v>
      </c>
      <c r="D118" s="5" t="s">
        <v>82</v>
      </c>
      <c r="E118" s="5" t="s">
        <v>407</v>
      </c>
      <c r="F118" s="5" t="s">
        <v>408</v>
      </c>
      <c r="G118" s="5" t="s">
        <v>409</v>
      </c>
      <c r="H118" s="5" t="s">
        <v>216</v>
      </c>
      <c r="I118" s="5" t="s">
        <v>410</v>
      </c>
      <c r="J118" s="5" t="s">
        <v>411</v>
      </c>
      <c r="K118" s="5" t="s">
        <v>412</v>
      </c>
      <c r="L118" s="5" t="s">
        <v>93</v>
      </c>
      <c r="M118">
        <f>84627.01+121222.62</f>
        <v>205849.63</v>
      </c>
      <c r="N118" s="5" t="s">
        <v>214</v>
      </c>
      <c r="O118">
        <f>67852.44+96412.93</f>
        <v>164265.37</v>
      </c>
      <c r="P118" s="5" t="s">
        <v>214</v>
      </c>
      <c r="Q118" s="5">
        <v>44</v>
      </c>
      <c r="R118" s="5">
        <v>44</v>
      </c>
      <c r="S118" s="5">
        <v>44</v>
      </c>
      <c r="T118" s="5">
        <v>44</v>
      </c>
      <c r="U118" s="5">
        <v>44</v>
      </c>
      <c r="V118" s="5">
        <v>44</v>
      </c>
      <c r="W118" s="5">
        <v>44</v>
      </c>
      <c r="X118" s="5">
        <v>44</v>
      </c>
      <c r="Y118" s="5">
        <v>44</v>
      </c>
      <c r="Z118" s="5">
        <v>44</v>
      </c>
      <c r="AA118" s="5">
        <v>44</v>
      </c>
      <c r="AB118" s="5">
        <v>44</v>
      </c>
      <c r="AC118" s="5">
        <v>44</v>
      </c>
      <c r="AD118" s="5" t="s">
        <v>260</v>
      </c>
      <c r="AE118" s="19">
        <v>43465</v>
      </c>
      <c r="AF118" s="19">
        <v>43465</v>
      </c>
      <c r="AG118" s="10" t="s">
        <v>466</v>
      </c>
    </row>
    <row r="119" spans="1:33" x14ac:dyDescent="0.25">
      <c r="A119" s="5">
        <v>2018</v>
      </c>
      <c r="B119" s="3">
        <v>43282</v>
      </c>
      <c r="C119" s="19">
        <v>43465</v>
      </c>
      <c r="D119" s="5" t="s">
        <v>83</v>
      </c>
      <c r="E119" s="5" t="s">
        <v>247</v>
      </c>
      <c r="F119" s="5" t="s">
        <v>289</v>
      </c>
      <c r="G119" s="5" t="s">
        <v>289</v>
      </c>
      <c r="H119" s="5" t="s">
        <v>285</v>
      </c>
      <c r="I119" s="5" t="s">
        <v>414</v>
      </c>
      <c r="J119" s="5" t="s">
        <v>415</v>
      </c>
      <c r="K119" s="5" t="s">
        <v>416</v>
      </c>
      <c r="L119" s="5" t="s">
        <v>94</v>
      </c>
      <c r="M119">
        <f>31910.23+43295.19</f>
        <v>75205.42</v>
      </c>
      <c r="N119" s="5" t="s">
        <v>214</v>
      </c>
      <c r="O119">
        <f>29298.21+39797.38</f>
        <v>69095.59</v>
      </c>
      <c r="P119" s="5" t="s">
        <v>214</v>
      </c>
      <c r="Q119" s="5">
        <v>45</v>
      </c>
      <c r="R119" s="5">
        <v>45</v>
      </c>
      <c r="S119" s="5">
        <v>45</v>
      </c>
      <c r="T119" s="5">
        <v>45</v>
      </c>
      <c r="U119" s="5">
        <v>45</v>
      </c>
      <c r="V119" s="5">
        <v>45</v>
      </c>
      <c r="W119" s="5">
        <v>45</v>
      </c>
      <c r="X119" s="5">
        <v>45</v>
      </c>
      <c r="Y119" s="5">
        <v>45</v>
      </c>
      <c r="Z119" s="5">
        <v>45</v>
      </c>
      <c r="AA119" s="5">
        <v>45</v>
      </c>
      <c r="AB119" s="5">
        <v>45</v>
      </c>
      <c r="AC119" s="5">
        <v>45</v>
      </c>
      <c r="AD119" s="5" t="s">
        <v>260</v>
      </c>
      <c r="AE119" s="19">
        <v>43465</v>
      </c>
      <c r="AF119" s="19">
        <v>43465</v>
      </c>
      <c r="AG119" s="10" t="s">
        <v>466</v>
      </c>
    </row>
    <row r="120" spans="1:33" x14ac:dyDescent="0.25">
      <c r="A120" s="5">
        <v>2018</v>
      </c>
      <c r="B120" s="3">
        <v>43282</v>
      </c>
      <c r="C120" s="19">
        <v>43465</v>
      </c>
      <c r="D120" s="5" t="s">
        <v>83</v>
      </c>
      <c r="E120" s="5" t="s">
        <v>247</v>
      </c>
      <c r="F120" s="5" t="s">
        <v>417</v>
      </c>
      <c r="G120" s="5" t="s">
        <v>417</v>
      </c>
      <c r="H120" s="5" t="s">
        <v>216</v>
      </c>
      <c r="I120" s="5" t="s">
        <v>418</v>
      </c>
      <c r="J120" s="5" t="s">
        <v>322</v>
      </c>
      <c r="K120" s="5" t="s">
        <v>419</v>
      </c>
      <c r="L120" s="5" t="s">
        <v>93</v>
      </c>
      <c r="M120">
        <f>32157.16+43875.86</f>
        <v>76033.02</v>
      </c>
      <c r="N120" s="5" t="s">
        <v>214</v>
      </c>
      <c r="O120">
        <f>30150.95+41129.78</f>
        <v>71280.73</v>
      </c>
      <c r="P120" s="5" t="s">
        <v>214</v>
      </c>
      <c r="Q120" s="5">
        <v>46</v>
      </c>
      <c r="R120" s="5">
        <v>46</v>
      </c>
      <c r="S120" s="5">
        <v>46</v>
      </c>
      <c r="T120" s="5">
        <v>46</v>
      </c>
      <c r="U120" s="5">
        <v>46</v>
      </c>
      <c r="V120" s="5">
        <v>46</v>
      </c>
      <c r="W120" s="5">
        <v>46</v>
      </c>
      <c r="X120" s="5">
        <v>46</v>
      </c>
      <c r="Y120" s="5">
        <v>46</v>
      </c>
      <c r="Z120" s="5">
        <v>46</v>
      </c>
      <c r="AA120" s="5">
        <v>46</v>
      </c>
      <c r="AB120" s="5">
        <v>46</v>
      </c>
      <c r="AC120" s="5">
        <v>46</v>
      </c>
      <c r="AD120" s="5" t="s">
        <v>260</v>
      </c>
      <c r="AE120" s="19">
        <v>43465</v>
      </c>
      <c r="AF120" s="19">
        <v>43465</v>
      </c>
      <c r="AG120" s="10" t="s">
        <v>466</v>
      </c>
    </row>
    <row r="121" spans="1:33" x14ac:dyDescent="0.25">
      <c r="A121" s="5">
        <v>2018</v>
      </c>
      <c r="B121" s="3">
        <v>43282</v>
      </c>
      <c r="C121" s="19">
        <v>43465</v>
      </c>
      <c r="D121" s="5" t="s">
        <v>83</v>
      </c>
      <c r="E121" s="5" t="s">
        <v>247</v>
      </c>
      <c r="F121" s="5" t="s">
        <v>363</v>
      </c>
      <c r="G121" s="5" t="s">
        <v>363</v>
      </c>
      <c r="H121" s="5" t="s">
        <v>364</v>
      </c>
      <c r="I121" s="5" t="s">
        <v>431</v>
      </c>
      <c r="J121" s="5" t="s">
        <v>432</v>
      </c>
      <c r="K121" s="5" t="s">
        <v>433</v>
      </c>
      <c r="L121" s="5" t="s">
        <v>93</v>
      </c>
      <c r="M121">
        <f>32157.16+43875.86</f>
        <v>76033.02</v>
      </c>
      <c r="N121" s="5" t="s">
        <v>214</v>
      </c>
      <c r="O121">
        <f>30150.95+41129.78</f>
        <v>71280.73</v>
      </c>
      <c r="P121" s="5" t="s">
        <v>214</v>
      </c>
      <c r="Q121" s="5">
        <v>47</v>
      </c>
      <c r="R121" s="5">
        <v>47</v>
      </c>
      <c r="S121" s="5">
        <v>47</v>
      </c>
      <c r="T121" s="5">
        <v>47</v>
      </c>
      <c r="U121" s="5">
        <v>47</v>
      </c>
      <c r="V121" s="5">
        <v>47</v>
      </c>
      <c r="W121" s="5">
        <v>47</v>
      </c>
      <c r="X121" s="5">
        <v>47</v>
      </c>
      <c r="Y121" s="5">
        <v>47</v>
      </c>
      <c r="Z121" s="5">
        <v>47</v>
      </c>
      <c r="AA121" s="5">
        <v>47</v>
      </c>
      <c r="AB121" s="5">
        <v>47</v>
      </c>
      <c r="AC121" s="5">
        <v>47</v>
      </c>
      <c r="AD121" s="5" t="s">
        <v>260</v>
      </c>
      <c r="AE121" s="19">
        <v>43465</v>
      </c>
      <c r="AF121" s="19">
        <v>43465</v>
      </c>
      <c r="AG121" s="10" t="s">
        <v>466</v>
      </c>
    </row>
    <row r="122" spans="1:33" x14ac:dyDescent="0.25">
      <c r="A122" s="5">
        <v>2018</v>
      </c>
      <c r="B122" s="3">
        <v>43282</v>
      </c>
      <c r="C122" s="19">
        <v>43465</v>
      </c>
      <c r="D122" s="5" t="s">
        <v>83</v>
      </c>
      <c r="E122" s="5" t="s">
        <v>247</v>
      </c>
      <c r="F122" s="5" t="s">
        <v>248</v>
      </c>
      <c r="G122" s="5" t="s">
        <v>434</v>
      </c>
      <c r="H122" s="5" t="s">
        <v>216</v>
      </c>
      <c r="I122" s="5" t="s">
        <v>435</v>
      </c>
      <c r="J122" s="5" t="s">
        <v>436</v>
      </c>
      <c r="K122" s="5" t="s">
        <v>437</v>
      </c>
      <c r="L122" s="5" t="s">
        <v>93</v>
      </c>
      <c r="M122">
        <f>38243.57+52628.65</f>
        <v>90872.22</v>
      </c>
      <c r="N122" s="5" t="s">
        <v>214</v>
      </c>
      <c r="O122">
        <f>34836.51+48200.58</f>
        <v>83037.09</v>
      </c>
      <c r="P122" s="5" t="s">
        <v>214</v>
      </c>
      <c r="Q122" s="5">
        <v>48</v>
      </c>
      <c r="R122" s="5">
        <v>48</v>
      </c>
      <c r="S122" s="5">
        <v>48</v>
      </c>
      <c r="T122" s="5">
        <v>48</v>
      </c>
      <c r="U122" s="5">
        <v>48</v>
      </c>
      <c r="V122" s="5">
        <v>48</v>
      </c>
      <c r="W122" s="5">
        <v>48</v>
      </c>
      <c r="X122" s="5">
        <v>48</v>
      </c>
      <c r="Y122" s="5">
        <v>48</v>
      </c>
      <c r="Z122" s="5">
        <v>48</v>
      </c>
      <c r="AA122" s="5">
        <v>48</v>
      </c>
      <c r="AB122" s="5">
        <v>48</v>
      </c>
      <c r="AC122" s="5">
        <v>48</v>
      </c>
      <c r="AD122" s="5" t="s">
        <v>260</v>
      </c>
      <c r="AE122" s="19">
        <v>43465</v>
      </c>
      <c r="AF122" s="19">
        <v>43465</v>
      </c>
      <c r="AG122" s="10" t="s">
        <v>466</v>
      </c>
    </row>
    <row r="123" spans="1:33" x14ac:dyDescent="0.25">
      <c r="A123" s="5">
        <v>2018</v>
      </c>
      <c r="B123" s="3">
        <v>43282</v>
      </c>
      <c r="C123" s="19">
        <v>43465</v>
      </c>
      <c r="D123" s="5" t="s">
        <v>82</v>
      </c>
      <c r="E123" s="5" t="s">
        <v>246</v>
      </c>
      <c r="F123" s="5" t="s">
        <v>217</v>
      </c>
      <c r="G123" s="5" t="s">
        <v>391</v>
      </c>
      <c r="H123" s="5" t="s">
        <v>216</v>
      </c>
      <c r="I123" s="5" t="s">
        <v>438</v>
      </c>
      <c r="J123" s="5" t="s">
        <v>341</v>
      </c>
      <c r="K123" s="5" t="s">
        <v>265</v>
      </c>
      <c r="L123" s="5" t="s">
        <v>93</v>
      </c>
      <c r="M123">
        <f>104811.13+140333.48</f>
        <v>245144.61000000002</v>
      </c>
      <c r="N123" s="5" t="s">
        <v>214</v>
      </c>
      <c r="O123">
        <f>82684.45+110606.43</f>
        <v>193290.88</v>
      </c>
      <c r="P123" s="5" t="s">
        <v>214</v>
      </c>
      <c r="Q123" s="5">
        <v>49</v>
      </c>
      <c r="R123" s="5">
        <v>49</v>
      </c>
      <c r="S123" s="5">
        <v>49</v>
      </c>
      <c r="T123" s="5">
        <v>49</v>
      </c>
      <c r="U123" s="5">
        <v>49</v>
      </c>
      <c r="V123" s="5">
        <v>49</v>
      </c>
      <c r="W123" s="5">
        <v>49</v>
      </c>
      <c r="X123" s="5">
        <v>49</v>
      </c>
      <c r="Y123" s="5">
        <v>49</v>
      </c>
      <c r="Z123" s="5">
        <v>49</v>
      </c>
      <c r="AA123" s="5">
        <v>49</v>
      </c>
      <c r="AB123" s="5">
        <v>49</v>
      </c>
      <c r="AC123" s="5">
        <v>49</v>
      </c>
      <c r="AD123" s="5" t="s">
        <v>260</v>
      </c>
      <c r="AE123" s="19">
        <v>43465</v>
      </c>
      <c r="AF123" s="19">
        <v>43465</v>
      </c>
      <c r="AG123" s="10" t="s">
        <v>466</v>
      </c>
    </row>
    <row r="124" spans="1:33" x14ac:dyDescent="0.25">
      <c r="A124" s="5">
        <v>2018</v>
      </c>
      <c r="B124" s="3">
        <v>43282</v>
      </c>
      <c r="C124" s="19">
        <v>43465</v>
      </c>
      <c r="D124" s="5" t="s">
        <v>83</v>
      </c>
      <c r="E124" s="5" t="s">
        <v>247</v>
      </c>
      <c r="F124" s="5" t="s">
        <v>349</v>
      </c>
      <c r="G124" s="5" t="s">
        <v>349</v>
      </c>
      <c r="H124" s="5" t="s">
        <v>216</v>
      </c>
      <c r="I124" s="5" t="s">
        <v>439</v>
      </c>
      <c r="J124" s="5" t="s">
        <v>389</v>
      </c>
      <c r="K124" s="5" t="s">
        <v>440</v>
      </c>
      <c r="L124" s="5" t="s">
        <v>93</v>
      </c>
      <c r="M124">
        <f>25955.04+33950.59</f>
        <v>59905.63</v>
      </c>
      <c r="N124" s="5" t="s">
        <v>214</v>
      </c>
      <c r="O124">
        <f>24569.76+31842.43</f>
        <v>56412.19</v>
      </c>
      <c r="P124" s="5" t="s">
        <v>214</v>
      </c>
      <c r="Q124" s="5">
        <v>50</v>
      </c>
      <c r="R124" s="5">
        <v>50</v>
      </c>
      <c r="S124" s="5">
        <v>50</v>
      </c>
      <c r="T124" s="5">
        <v>50</v>
      </c>
      <c r="U124" s="5">
        <v>50</v>
      </c>
      <c r="V124" s="5">
        <v>50</v>
      </c>
      <c r="W124" s="5">
        <v>50</v>
      </c>
      <c r="X124" s="5">
        <v>50</v>
      </c>
      <c r="Y124" s="5">
        <v>50</v>
      </c>
      <c r="Z124" s="5">
        <v>50</v>
      </c>
      <c r="AA124" s="5">
        <v>50</v>
      </c>
      <c r="AB124" s="5">
        <v>50</v>
      </c>
      <c r="AC124" s="5">
        <v>50</v>
      </c>
      <c r="AD124" s="5" t="s">
        <v>260</v>
      </c>
      <c r="AE124" s="19">
        <v>43465</v>
      </c>
      <c r="AF124" s="19">
        <v>43465</v>
      </c>
      <c r="AG124" s="10" t="s">
        <v>466</v>
      </c>
    </row>
    <row r="125" spans="1:33" x14ac:dyDescent="0.25">
      <c r="A125" s="5">
        <v>2018</v>
      </c>
      <c r="B125" s="3">
        <v>43282</v>
      </c>
      <c r="C125" s="19">
        <v>43465</v>
      </c>
      <c r="D125" s="5" t="s">
        <v>83</v>
      </c>
      <c r="E125" s="5" t="s">
        <v>247</v>
      </c>
      <c r="F125" s="5" t="s">
        <v>305</v>
      </c>
      <c r="G125" s="5" t="s">
        <v>305</v>
      </c>
      <c r="H125" s="5" t="s">
        <v>216</v>
      </c>
      <c r="I125" s="5" t="s">
        <v>443</v>
      </c>
      <c r="J125" s="5" t="s">
        <v>444</v>
      </c>
      <c r="K125" s="5" t="s">
        <v>292</v>
      </c>
      <c r="L125" s="5" t="s">
        <v>93</v>
      </c>
      <c r="M125">
        <f>32501.58+43198.09</f>
        <v>75699.67</v>
      </c>
      <c r="N125" s="5" t="s">
        <v>214</v>
      </c>
      <c r="O125">
        <f>29150.27+38602.67</f>
        <v>67752.94</v>
      </c>
      <c r="P125" s="5" t="s">
        <v>214</v>
      </c>
      <c r="Q125" s="5">
        <v>51</v>
      </c>
      <c r="R125" s="5">
        <v>51</v>
      </c>
      <c r="S125" s="5">
        <v>51</v>
      </c>
      <c r="T125" s="5">
        <v>51</v>
      </c>
      <c r="U125" s="5">
        <v>51</v>
      </c>
      <c r="V125" s="5">
        <v>51</v>
      </c>
      <c r="W125" s="5">
        <v>51</v>
      </c>
      <c r="X125" s="5">
        <v>51</v>
      </c>
      <c r="Y125" s="5">
        <v>51</v>
      </c>
      <c r="Z125" s="5">
        <v>51</v>
      </c>
      <c r="AA125" s="5">
        <v>51</v>
      </c>
      <c r="AB125" s="5">
        <v>51</v>
      </c>
      <c r="AC125" s="5">
        <v>51</v>
      </c>
      <c r="AD125" s="5" t="s">
        <v>260</v>
      </c>
      <c r="AE125" s="19">
        <v>43465</v>
      </c>
      <c r="AF125" s="19">
        <v>43465</v>
      </c>
      <c r="AG125" s="10" t="s">
        <v>466</v>
      </c>
    </row>
    <row r="126" spans="1:33" x14ac:dyDescent="0.25">
      <c r="A126" s="5">
        <v>2018</v>
      </c>
      <c r="B126" s="3">
        <v>43282</v>
      </c>
      <c r="C126" s="19">
        <v>43465</v>
      </c>
      <c r="D126" s="5" t="s">
        <v>83</v>
      </c>
      <c r="E126" s="5" t="s">
        <v>247</v>
      </c>
      <c r="F126" s="5" t="s">
        <v>343</v>
      </c>
      <c r="G126" s="5" t="s">
        <v>343</v>
      </c>
      <c r="H126" s="5" t="s">
        <v>285</v>
      </c>
      <c r="I126" s="5" t="s">
        <v>445</v>
      </c>
      <c r="J126" s="5" t="s">
        <v>322</v>
      </c>
      <c r="K126" s="5" t="s">
        <v>294</v>
      </c>
      <c r="L126" s="5" t="s">
        <v>94</v>
      </c>
      <c r="M126">
        <f>24602.81+31238</f>
        <v>55840.81</v>
      </c>
      <c r="N126" s="5" t="s">
        <v>214</v>
      </c>
      <c r="O126">
        <f>23452.4+29512.59</f>
        <v>52964.990000000005</v>
      </c>
      <c r="P126" s="5" t="s">
        <v>214</v>
      </c>
      <c r="Q126" s="5">
        <v>52</v>
      </c>
      <c r="R126" s="5">
        <v>52</v>
      </c>
      <c r="S126" s="5">
        <v>52</v>
      </c>
      <c r="T126" s="5">
        <v>52</v>
      </c>
      <c r="U126" s="5">
        <v>52</v>
      </c>
      <c r="V126" s="5">
        <v>52</v>
      </c>
      <c r="W126" s="5">
        <v>52</v>
      </c>
      <c r="X126" s="5">
        <v>52</v>
      </c>
      <c r="Y126" s="5">
        <v>52</v>
      </c>
      <c r="Z126" s="5">
        <v>52</v>
      </c>
      <c r="AA126" s="5">
        <v>52</v>
      </c>
      <c r="AB126" s="5">
        <v>52</v>
      </c>
      <c r="AC126" s="5">
        <v>52</v>
      </c>
      <c r="AD126" s="5" t="s">
        <v>260</v>
      </c>
      <c r="AE126" s="19">
        <v>43465</v>
      </c>
      <c r="AF126" s="19">
        <v>43465</v>
      </c>
      <c r="AG126" s="10" t="s">
        <v>466</v>
      </c>
    </row>
    <row r="127" spans="1:33" x14ac:dyDescent="0.25">
      <c r="A127" s="5">
        <v>2018</v>
      </c>
      <c r="B127" s="3">
        <v>43282</v>
      </c>
      <c r="C127" s="19">
        <v>43465</v>
      </c>
      <c r="D127" s="5" t="s">
        <v>83</v>
      </c>
      <c r="E127" s="5" t="s">
        <v>247</v>
      </c>
      <c r="F127" s="5" t="s">
        <v>363</v>
      </c>
      <c r="G127" s="5" t="s">
        <v>363</v>
      </c>
      <c r="H127" s="5" t="s">
        <v>364</v>
      </c>
      <c r="I127" s="5" t="s">
        <v>446</v>
      </c>
      <c r="J127" s="5" t="s">
        <v>447</v>
      </c>
      <c r="K127" s="5" t="s">
        <v>448</v>
      </c>
      <c r="L127" s="5" t="s">
        <v>94</v>
      </c>
      <c r="M127">
        <f>38157.16+47282.26</f>
        <v>85439.420000000013</v>
      </c>
      <c r="N127" s="5" t="s">
        <v>214</v>
      </c>
      <c r="O127">
        <f>35500.75+44312.42</f>
        <v>79813.17</v>
      </c>
      <c r="P127" s="5" t="s">
        <v>214</v>
      </c>
      <c r="Q127" s="5">
        <v>53</v>
      </c>
      <c r="R127" s="5">
        <v>53</v>
      </c>
      <c r="S127" s="5">
        <v>53</v>
      </c>
      <c r="T127" s="5">
        <v>53</v>
      </c>
      <c r="U127" s="5">
        <v>53</v>
      </c>
      <c r="V127" s="5">
        <v>53</v>
      </c>
      <c r="W127" s="5">
        <v>53</v>
      </c>
      <c r="X127" s="5">
        <v>53</v>
      </c>
      <c r="Y127" s="5">
        <v>53</v>
      </c>
      <c r="Z127" s="5">
        <v>53</v>
      </c>
      <c r="AA127" s="5">
        <v>53</v>
      </c>
      <c r="AB127" s="5">
        <v>53</v>
      </c>
      <c r="AC127" s="5">
        <v>53</v>
      </c>
      <c r="AD127" s="5" t="s">
        <v>260</v>
      </c>
      <c r="AE127" s="19">
        <v>43465</v>
      </c>
      <c r="AF127" s="19">
        <v>43465</v>
      </c>
      <c r="AG127" s="10" t="s">
        <v>466</v>
      </c>
    </row>
    <row r="128" spans="1:33" x14ac:dyDescent="0.25">
      <c r="A128" s="5">
        <v>2018</v>
      </c>
      <c r="B128" s="3">
        <v>43282</v>
      </c>
      <c r="C128" s="19">
        <v>43465</v>
      </c>
      <c r="D128" s="5" t="s">
        <v>82</v>
      </c>
      <c r="E128" s="5" t="s">
        <v>246</v>
      </c>
      <c r="F128" s="5" t="s">
        <v>399</v>
      </c>
      <c r="G128" s="5" t="s">
        <v>399</v>
      </c>
      <c r="H128" s="5" t="s">
        <v>216</v>
      </c>
      <c r="I128" s="5" t="s">
        <v>449</v>
      </c>
      <c r="J128" s="5" t="s">
        <v>450</v>
      </c>
      <c r="K128" s="5" t="s">
        <v>346</v>
      </c>
      <c r="L128" s="5" t="s">
        <v>94</v>
      </c>
      <c r="M128">
        <f>135534.7+174876.39</f>
        <v>310411.09000000003</v>
      </c>
      <c r="N128" s="5" t="s">
        <v>214</v>
      </c>
      <c r="O128">
        <f>103882.87+132147.45</f>
        <v>236030.32</v>
      </c>
      <c r="P128" s="5" t="s">
        <v>214</v>
      </c>
      <c r="Q128" s="5">
        <v>54</v>
      </c>
      <c r="R128" s="5">
        <v>54</v>
      </c>
      <c r="S128" s="5">
        <v>54</v>
      </c>
      <c r="T128" s="5">
        <v>54</v>
      </c>
      <c r="U128" s="5">
        <v>54</v>
      </c>
      <c r="V128" s="5">
        <v>54</v>
      </c>
      <c r="W128" s="5">
        <v>54</v>
      </c>
      <c r="X128" s="5">
        <v>54</v>
      </c>
      <c r="Y128" s="5">
        <v>54</v>
      </c>
      <c r="Z128" s="5">
        <v>54</v>
      </c>
      <c r="AA128" s="5">
        <v>54</v>
      </c>
      <c r="AB128" s="5">
        <v>54</v>
      </c>
      <c r="AC128" s="5">
        <v>54</v>
      </c>
      <c r="AD128" s="5" t="s">
        <v>260</v>
      </c>
      <c r="AE128" s="19">
        <v>43465</v>
      </c>
      <c r="AF128" s="19">
        <v>43465</v>
      </c>
      <c r="AG128" s="10" t="s">
        <v>466</v>
      </c>
    </row>
    <row r="129" spans="1:33" x14ac:dyDescent="0.25">
      <c r="A129" s="5">
        <v>2018</v>
      </c>
      <c r="B129" s="3">
        <v>43282</v>
      </c>
      <c r="C129" s="19">
        <v>43465</v>
      </c>
      <c r="D129" s="5" t="s">
        <v>83</v>
      </c>
      <c r="E129" s="5" t="s">
        <v>247</v>
      </c>
      <c r="F129" s="5" t="s">
        <v>305</v>
      </c>
      <c r="G129" s="5" t="s">
        <v>305</v>
      </c>
      <c r="H129" s="5" t="s">
        <v>216</v>
      </c>
      <c r="I129" s="5" t="s">
        <v>454</v>
      </c>
      <c r="J129" s="5" t="s">
        <v>273</v>
      </c>
      <c r="K129" s="5" t="s">
        <v>255</v>
      </c>
      <c r="L129" s="5" t="s">
        <v>94</v>
      </c>
      <c r="M129">
        <f>25955.04+31494.9</f>
        <v>57449.94</v>
      </c>
      <c r="N129" s="5" t="s">
        <v>214</v>
      </c>
      <c r="O129">
        <f>24569.76+29653.26</f>
        <v>54223.02</v>
      </c>
      <c r="P129" s="5" t="s">
        <v>214</v>
      </c>
      <c r="Q129" s="5">
        <v>55</v>
      </c>
      <c r="R129" s="5">
        <v>55</v>
      </c>
      <c r="S129" s="5">
        <v>55</v>
      </c>
      <c r="T129" s="5">
        <v>55</v>
      </c>
      <c r="U129" s="5">
        <v>55</v>
      </c>
      <c r="V129" s="5">
        <v>55</v>
      </c>
      <c r="W129" s="5">
        <v>55</v>
      </c>
      <c r="X129" s="5">
        <v>55</v>
      </c>
      <c r="Y129" s="5">
        <v>55</v>
      </c>
      <c r="Z129" s="5">
        <v>55</v>
      </c>
      <c r="AA129" s="5">
        <v>55</v>
      </c>
      <c r="AB129" s="5">
        <v>55</v>
      </c>
      <c r="AC129" s="5">
        <v>55</v>
      </c>
      <c r="AD129" s="5" t="s">
        <v>260</v>
      </c>
      <c r="AE129" s="19">
        <v>43465</v>
      </c>
      <c r="AF129" s="19">
        <v>43465</v>
      </c>
      <c r="AG129" s="10" t="s">
        <v>466</v>
      </c>
    </row>
    <row r="130" spans="1:33" x14ac:dyDescent="0.25">
      <c r="A130" s="5">
        <v>2018</v>
      </c>
      <c r="B130" s="3">
        <v>43282</v>
      </c>
      <c r="C130" s="19">
        <v>43465</v>
      </c>
      <c r="D130" s="5" t="s">
        <v>83</v>
      </c>
      <c r="E130" s="5" t="s">
        <v>247</v>
      </c>
      <c r="F130" s="5" t="s">
        <v>361</v>
      </c>
      <c r="G130" s="5" t="s">
        <v>361</v>
      </c>
      <c r="H130" s="5" t="s">
        <v>216</v>
      </c>
      <c r="I130" s="5" t="s">
        <v>455</v>
      </c>
      <c r="J130" s="5" t="s">
        <v>294</v>
      </c>
      <c r="K130" s="5" t="s">
        <v>456</v>
      </c>
      <c r="L130" s="5" t="s">
        <v>94</v>
      </c>
      <c r="M130">
        <f>25684.59+31597.83</f>
        <v>57282.42</v>
      </c>
      <c r="N130" s="5" t="s">
        <v>214</v>
      </c>
      <c r="O130">
        <f>24351.38+29689.68</f>
        <v>54041.06</v>
      </c>
      <c r="P130" s="5" t="s">
        <v>214</v>
      </c>
      <c r="Q130" s="5">
        <v>56</v>
      </c>
      <c r="R130" s="5">
        <v>56</v>
      </c>
      <c r="S130" s="5">
        <v>56</v>
      </c>
      <c r="T130" s="5">
        <v>56</v>
      </c>
      <c r="U130" s="5">
        <v>56</v>
      </c>
      <c r="V130" s="5">
        <v>56</v>
      </c>
      <c r="W130" s="5">
        <v>56</v>
      </c>
      <c r="X130" s="5">
        <v>56</v>
      </c>
      <c r="Y130" s="5">
        <v>56</v>
      </c>
      <c r="Z130" s="5">
        <v>56</v>
      </c>
      <c r="AA130" s="5">
        <v>56</v>
      </c>
      <c r="AB130" s="5">
        <v>56</v>
      </c>
      <c r="AC130" s="5">
        <v>56</v>
      </c>
      <c r="AD130" s="5" t="s">
        <v>260</v>
      </c>
      <c r="AE130" s="19">
        <v>43465</v>
      </c>
      <c r="AF130" s="19">
        <v>43465</v>
      </c>
      <c r="AG130" s="10" t="s">
        <v>466</v>
      </c>
    </row>
    <row r="131" spans="1:33" x14ac:dyDescent="0.25">
      <c r="A131" s="5">
        <v>2018</v>
      </c>
      <c r="B131" s="3">
        <v>43282</v>
      </c>
      <c r="C131" s="19">
        <v>43465</v>
      </c>
      <c r="D131" s="5" t="s">
        <v>82</v>
      </c>
      <c r="E131" s="5" t="s">
        <v>407</v>
      </c>
      <c r="F131" s="5" t="s">
        <v>420</v>
      </c>
      <c r="G131" s="5" t="s">
        <v>420</v>
      </c>
      <c r="H131" t="s">
        <v>216</v>
      </c>
      <c r="I131" t="s">
        <v>458</v>
      </c>
      <c r="J131" t="s">
        <v>422</v>
      </c>
      <c r="K131" t="s">
        <v>459</v>
      </c>
      <c r="L131" t="s">
        <v>94</v>
      </c>
      <c r="M131">
        <f>22687.9+75928.79</f>
        <v>98616.69</v>
      </c>
      <c r="N131" s="5" t="s">
        <v>214</v>
      </c>
      <c r="O131">
        <f>18420.32+62032.32</f>
        <v>80452.639999999999</v>
      </c>
      <c r="P131" s="5" t="s">
        <v>214</v>
      </c>
      <c r="Q131">
        <v>57</v>
      </c>
      <c r="R131" s="5">
        <v>57</v>
      </c>
      <c r="S131" s="5">
        <v>57</v>
      </c>
      <c r="T131" s="5">
        <v>57</v>
      </c>
      <c r="U131" s="5">
        <v>57</v>
      </c>
      <c r="V131" s="5">
        <v>57</v>
      </c>
      <c r="W131" s="5">
        <v>57</v>
      </c>
      <c r="X131" s="5">
        <v>57</v>
      </c>
      <c r="Y131" s="5">
        <v>57</v>
      </c>
      <c r="Z131" s="5">
        <v>57</v>
      </c>
      <c r="AA131" s="5">
        <v>57</v>
      </c>
      <c r="AB131" s="5">
        <v>57</v>
      </c>
      <c r="AC131" s="5">
        <v>57</v>
      </c>
      <c r="AD131" s="5" t="s">
        <v>260</v>
      </c>
      <c r="AE131" s="19">
        <v>43465</v>
      </c>
      <c r="AF131" s="19">
        <v>43465</v>
      </c>
      <c r="AG131" s="10" t="s">
        <v>466</v>
      </c>
    </row>
    <row r="132" spans="1:33" s="13" customFormat="1" x14ac:dyDescent="0.25">
      <c r="A132" s="13">
        <v>2018</v>
      </c>
      <c r="B132" s="3">
        <v>43282</v>
      </c>
      <c r="C132" s="19">
        <v>43465</v>
      </c>
      <c r="D132" s="13" t="s">
        <v>83</v>
      </c>
      <c r="E132" s="13" t="s">
        <v>247</v>
      </c>
      <c r="F132" s="13" t="s">
        <v>248</v>
      </c>
      <c r="G132" s="13" t="s">
        <v>424</v>
      </c>
      <c r="H132" s="13" t="s">
        <v>216</v>
      </c>
      <c r="I132" s="13" t="s">
        <v>462</v>
      </c>
      <c r="J132" s="13" t="s">
        <v>463</v>
      </c>
      <c r="K132" s="13" t="s">
        <v>464</v>
      </c>
      <c r="L132" s="13" t="s">
        <v>94</v>
      </c>
      <c r="M132" s="13">
        <v>10756.66</v>
      </c>
      <c r="N132" s="13" t="s">
        <v>214</v>
      </c>
      <c r="O132" s="13">
        <v>10622.58</v>
      </c>
      <c r="P132" s="13" t="s">
        <v>214</v>
      </c>
      <c r="Q132" s="13">
        <v>58</v>
      </c>
      <c r="R132" s="13">
        <v>58</v>
      </c>
      <c r="S132" s="13">
        <v>58</v>
      </c>
      <c r="T132" s="13">
        <v>58</v>
      </c>
      <c r="U132" s="13">
        <v>58</v>
      </c>
      <c r="V132" s="13">
        <v>58</v>
      </c>
      <c r="W132" s="13">
        <v>58</v>
      </c>
      <c r="X132" s="13">
        <v>58</v>
      </c>
      <c r="Y132" s="13">
        <v>58</v>
      </c>
      <c r="Z132" s="13">
        <v>58</v>
      </c>
      <c r="AA132" s="13">
        <v>58</v>
      </c>
      <c r="AB132" s="13">
        <v>58</v>
      </c>
      <c r="AC132" s="13">
        <v>58</v>
      </c>
      <c r="AD132" s="13" t="s">
        <v>260</v>
      </c>
      <c r="AE132" s="19">
        <v>43465</v>
      </c>
      <c r="AF132" s="19">
        <v>43465</v>
      </c>
      <c r="AG132" s="13" t="s">
        <v>466</v>
      </c>
    </row>
    <row r="133" spans="1:33" s="13" customFormat="1" x14ac:dyDescent="0.25">
      <c r="A133" s="13">
        <v>2018</v>
      </c>
      <c r="B133" s="3">
        <v>43282</v>
      </c>
      <c r="C133" s="19">
        <v>43465</v>
      </c>
      <c r="D133" s="13" t="s">
        <v>83</v>
      </c>
      <c r="E133" s="13" t="s">
        <v>247</v>
      </c>
      <c r="F133" s="13" t="s">
        <v>427</v>
      </c>
      <c r="G133" s="13" t="s">
        <v>427</v>
      </c>
      <c r="H133" s="13" t="s">
        <v>364</v>
      </c>
      <c r="I133" s="13" t="s">
        <v>428</v>
      </c>
      <c r="J133" s="13" t="s">
        <v>429</v>
      </c>
      <c r="K133" s="13" t="s">
        <v>430</v>
      </c>
      <c r="L133" s="13" t="s">
        <v>93</v>
      </c>
      <c r="M133" s="13">
        <v>30500.94</v>
      </c>
      <c r="N133" s="13" t="s">
        <v>214</v>
      </c>
      <c r="O133" s="13">
        <v>27861.53</v>
      </c>
      <c r="P133" s="13" t="s">
        <v>214</v>
      </c>
      <c r="Q133" s="13">
        <v>59</v>
      </c>
      <c r="R133" s="13">
        <v>59</v>
      </c>
      <c r="S133" s="13">
        <v>59</v>
      </c>
      <c r="T133" s="13">
        <v>59</v>
      </c>
      <c r="U133" s="13">
        <v>59</v>
      </c>
      <c r="V133" s="13">
        <v>59</v>
      </c>
      <c r="W133" s="13">
        <v>59</v>
      </c>
      <c r="X133" s="13">
        <v>59</v>
      </c>
      <c r="Y133" s="13">
        <v>59</v>
      </c>
      <c r="Z133" s="13">
        <v>59</v>
      </c>
      <c r="AA133" s="13">
        <v>59</v>
      </c>
      <c r="AB133" s="13">
        <v>59</v>
      </c>
      <c r="AC133" s="13">
        <v>59</v>
      </c>
      <c r="AD133" s="13" t="s">
        <v>260</v>
      </c>
      <c r="AE133" s="19">
        <v>43465</v>
      </c>
      <c r="AF133" s="19">
        <v>43465</v>
      </c>
      <c r="AG133" s="13" t="s">
        <v>466</v>
      </c>
    </row>
    <row r="134" spans="1:33" s="13" customFormat="1" x14ac:dyDescent="0.25">
      <c r="A134" s="13">
        <v>2018</v>
      </c>
      <c r="B134" s="3">
        <v>43282</v>
      </c>
      <c r="C134" s="19">
        <v>43465</v>
      </c>
      <c r="D134" s="13" t="s">
        <v>83</v>
      </c>
      <c r="E134" s="13" t="s">
        <v>247</v>
      </c>
      <c r="F134" s="13" t="s">
        <v>284</v>
      </c>
      <c r="G134" s="13" t="s">
        <v>284</v>
      </c>
      <c r="H134" s="13" t="s">
        <v>285</v>
      </c>
      <c r="I134" s="13" t="s">
        <v>465</v>
      </c>
      <c r="J134" s="13" t="s">
        <v>401</v>
      </c>
      <c r="K134" s="13" t="s">
        <v>401</v>
      </c>
      <c r="L134" s="13" t="s">
        <v>93</v>
      </c>
      <c r="M134" s="13">
        <v>18038.78</v>
      </c>
      <c r="N134" s="13" t="s">
        <v>214</v>
      </c>
      <c r="O134" s="13">
        <v>17115.259999999998</v>
      </c>
      <c r="P134" s="13" t="s">
        <v>214</v>
      </c>
      <c r="Q134" s="13">
        <v>60</v>
      </c>
      <c r="R134" s="13">
        <v>60</v>
      </c>
      <c r="S134" s="13">
        <v>60</v>
      </c>
      <c r="T134" s="13">
        <v>60</v>
      </c>
      <c r="U134" s="13">
        <v>60</v>
      </c>
      <c r="V134" s="13">
        <v>60</v>
      </c>
      <c r="W134" s="13">
        <v>60</v>
      </c>
      <c r="X134" s="13">
        <v>60</v>
      </c>
      <c r="Y134" s="13">
        <v>60</v>
      </c>
      <c r="Z134" s="13">
        <v>60</v>
      </c>
      <c r="AA134" s="13">
        <v>60</v>
      </c>
      <c r="AB134" s="13">
        <v>60</v>
      </c>
      <c r="AC134" s="13">
        <v>60</v>
      </c>
      <c r="AD134" s="13" t="s">
        <v>260</v>
      </c>
      <c r="AE134" s="19">
        <v>43465</v>
      </c>
      <c r="AF134" s="19">
        <v>43465</v>
      </c>
      <c r="AG134" s="13" t="s">
        <v>466</v>
      </c>
    </row>
    <row r="135" spans="1:33" s="13" customFormat="1" x14ac:dyDescent="0.25">
      <c r="B135" s="3"/>
      <c r="C135" s="3"/>
      <c r="AE135" s="3"/>
      <c r="AF135" s="3"/>
    </row>
    <row r="136" spans="1:33" s="13" customFormat="1" x14ac:dyDescent="0.25">
      <c r="B136" s="3"/>
      <c r="C136" s="3"/>
      <c r="M136" s="13">
        <f>SUM(M8:M134)</f>
        <v>10576635.599999996</v>
      </c>
      <c r="O136" s="15">
        <f>SUM(O8:O134)</f>
        <v>9068049.6200000029</v>
      </c>
      <c r="AE136" s="3"/>
      <c r="AF136" s="3"/>
    </row>
    <row r="137" spans="1:33" s="13" customFormat="1" x14ac:dyDescent="0.25">
      <c r="B137" s="3"/>
      <c r="C137" s="3"/>
      <c r="AE137" s="3"/>
      <c r="AF13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</dataValidations>
  <pageMargins left="0.15748031496062992" right="0.70866141732283472" top="0.15748031496062992" bottom="0.15748031496062992" header="0.15748031496062992" footer="0.31496062992125984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242"/>
  <sheetViews>
    <sheetView topLeftCell="A3" workbookViewId="0">
      <selection activeCell="B128" sqref="B1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6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6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242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6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6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242"/>
  <sheetViews>
    <sheetView topLeftCell="A3" workbookViewId="0">
      <selection activeCell="A131" sqref="A131:XFD2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6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6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24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6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6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</row>
    <row r="131" spans="1:6" s="5" customFormat="1" x14ac:dyDescent="0.25"/>
    <row r="132" spans="1:6" s="5" customFormat="1" x14ac:dyDescent="0.25"/>
    <row r="133" spans="1:6" s="5" customFormat="1" x14ac:dyDescent="0.25"/>
    <row r="134" spans="1:6" s="5" customFormat="1" x14ac:dyDescent="0.25"/>
    <row r="135" spans="1:6" s="5" customFormat="1" x14ac:dyDescent="0.25"/>
    <row r="136" spans="1:6" s="5" customFormat="1" x14ac:dyDescent="0.25"/>
    <row r="137" spans="1:6" s="5" customFormat="1" x14ac:dyDescent="0.25"/>
    <row r="138" spans="1:6" s="5" customFormat="1" x14ac:dyDescent="0.25"/>
    <row r="139" spans="1:6" s="5" customFormat="1" x14ac:dyDescent="0.25"/>
    <row r="140" spans="1:6" s="5" customFormat="1" x14ac:dyDescent="0.25"/>
    <row r="141" spans="1:6" s="5" customFormat="1" x14ac:dyDescent="0.25"/>
    <row r="142" spans="1:6" s="5" customFormat="1" x14ac:dyDescent="0.25"/>
    <row r="143" spans="1:6" s="5" customFormat="1" x14ac:dyDescent="0.25"/>
    <row r="144" spans="1:6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pans="1:6" s="5" customFormat="1" x14ac:dyDescent="0.25"/>
    <row r="178" spans="1:6" s="5" customFormat="1" x14ac:dyDescent="0.25"/>
    <row r="179" spans="1:6" s="5" customFormat="1" x14ac:dyDescent="0.25"/>
    <row r="180" spans="1:6" s="5" customFormat="1" x14ac:dyDescent="0.25"/>
    <row r="181" spans="1:6" s="5" customFormat="1" x14ac:dyDescent="0.25"/>
    <row r="182" spans="1:6" s="5" customFormat="1" x14ac:dyDescent="0.25"/>
    <row r="183" spans="1:6" s="5" customFormat="1" x14ac:dyDescent="0.25"/>
    <row r="184" spans="1:6" s="5" customFormat="1" x14ac:dyDescent="0.25"/>
    <row r="185" spans="1:6" s="5" customFormat="1" x14ac:dyDescent="0.25"/>
    <row r="186" spans="1:6" s="5" customFormat="1" x14ac:dyDescent="0.25"/>
    <row r="187" spans="1:6" s="5" customFormat="1" x14ac:dyDescent="0.25"/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242"/>
  <sheetViews>
    <sheetView topLeftCell="A3" workbookViewId="0">
      <selection activeCell="B134" sqref="B1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6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6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2"/>
  <sheetViews>
    <sheetView topLeftCell="A108" zoomScale="90" zoomScaleNormal="90" workbookViewId="0">
      <selection activeCell="D139" sqref="D139:D1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238</v>
      </c>
      <c r="C4">
        <v>0</v>
      </c>
      <c r="D4">
        <v>0</v>
      </c>
      <c r="E4" t="s">
        <v>239</v>
      </c>
      <c r="F4" t="s">
        <v>240</v>
      </c>
    </row>
    <row r="5" spans="1:6" x14ac:dyDescent="0.25">
      <c r="A5">
        <v>2</v>
      </c>
      <c r="B5" t="s">
        <v>238</v>
      </c>
      <c r="C5">
        <v>0</v>
      </c>
      <c r="D5">
        <v>0</v>
      </c>
      <c r="E5" t="s">
        <v>239</v>
      </c>
      <c r="F5" t="s">
        <v>240</v>
      </c>
    </row>
    <row r="6" spans="1:6" x14ac:dyDescent="0.25">
      <c r="A6">
        <v>3</v>
      </c>
      <c r="B6" t="s">
        <v>238</v>
      </c>
      <c r="C6">
        <v>0</v>
      </c>
      <c r="D6">
        <v>0</v>
      </c>
      <c r="E6" t="s">
        <v>239</v>
      </c>
      <c r="F6" t="s">
        <v>240</v>
      </c>
    </row>
    <row r="7" spans="1:6" x14ac:dyDescent="0.25">
      <c r="A7">
        <v>4</v>
      </c>
      <c r="B7" t="s">
        <v>238</v>
      </c>
      <c r="C7">
        <v>0</v>
      </c>
      <c r="D7">
        <v>0</v>
      </c>
      <c r="E7" t="s">
        <v>239</v>
      </c>
      <c r="F7" t="s">
        <v>240</v>
      </c>
    </row>
    <row r="8" spans="1:6" x14ac:dyDescent="0.25">
      <c r="A8">
        <v>5</v>
      </c>
      <c r="B8" t="s">
        <v>238</v>
      </c>
      <c r="C8">
        <v>0</v>
      </c>
      <c r="D8">
        <v>0</v>
      </c>
      <c r="E8" t="s">
        <v>239</v>
      </c>
      <c r="F8" t="s">
        <v>240</v>
      </c>
    </row>
    <row r="9" spans="1:6" x14ac:dyDescent="0.25">
      <c r="A9">
        <v>6</v>
      </c>
      <c r="B9" t="s">
        <v>238</v>
      </c>
      <c r="C9">
        <v>0</v>
      </c>
      <c r="D9">
        <v>0</v>
      </c>
      <c r="E9" t="s">
        <v>239</v>
      </c>
      <c r="F9" t="s">
        <v>240</v>
      </c>
    </row>
    <row r="10" spans="1:6" x14ac:dyDescent="0.25">
      <c r="A10">
        <v>7</v>
      </c>
      <c r="B10" t="s">
        <v>238</v>
      </c>
      <c r="C10">
        <v>0</v>
      </c>
      <c r="D10">
        <v>0</v>
      </c>
      <c r="E10" t="s">
        <v>239</v>
      </c>
      <c r="F10" t="s">
        <v>240</v>
      </c>
    </row>
    <row r="11" spans="1:6" x14ac:dyDescent="0.25">
      <c r="A11">
        <v>8</v>
      </c>
      <c r="B11" t="s">
        <v>238</v>
      </c>
      <c r="C11">
        <v>0</v>
      </c>
      <c r="D11">
        <v>0</v>
      </c>
      <c r="E11" t="s">
        <v>239</v>
      </c>
      <c r="F11" t="s">
        <v>240</v>
      </c>
    </row>
    <row r="12" spans="1:6" x14ac:dyDescent="0.25">
      <c r="A12">
        <v>9</v>
      </c>
      <c r="B12" t="s">
        <v>238</v>
      </c>
      <c r="C12">
        <v>0</v>
      </c>
      <c r="D12">
        <v>0</v>
      </c>
      <c r="E12" t="s">
        <v>239</v>
      </c>
      <c r="F12" t="s">
        <v>240</v>
      </c>
    </row>
    <row r="13" spans="1:6" x14ac:dyDescent="0.25">
      <c r="A13">
        <v>10</v>
      </c>
      <c r="B13" t="s">
        <v>238</v>
      </c>
      <c r="C13">
        <v>0</v>
      </c>
      <c r="D13">
        <v>0</v>
      </c>
      <c r="E13" t="s">
        <v>239</v>
      </c>
      <c r="F13" t="s">
        <v>240</v>
      </c>
    </row>
    <row r="14" spans="1:6" x14ac:dyDescent="0.25">
      <c r="A14">
        <v>11</v>
      </c>
      <c r="B14" t="s">
        <v>238</v>
      </c>
      <c r="C14">
        <v>0</v>
      </c>
      <c r="D14">
        <v>0</v>
      </c>
      <c r="E14" t="s">
        <v>239</v>
      </c>
      <c r="F14" t="s">
        <v>240</v>
      </c>
    </row>
    <row r="15" spans="1:6" x14ac:dyDescent="0.25">
      <c r="A15">
        <v>12</v>
      </c>
      <c r="B15" t="s">
        <v>238</v>
      </c>
      <c r="C15">
        <v>0</v>
      </c>
      <c r="D15">
        <v>0</v>
      </c>
      <c r="E15" t="s">
        <v>239</v>
      </c>
      <c r="F15" t="s">
        <v>240</v>
      </c>
    </row>
    <row r="16" spans="1:6" x14ac:dyDescent="0.25">
      <c r="A16">
        <v>13</v>
      </c>
      <c r="B16" t="s">
        <v>238</v>
      </c>
      <c r="C16">
        <v>0</v>
      </c>
      <c r="D16">
        <v>0</v>
      </c>
      <c r="E16" t="s">
        <v>239</v>
      </c>
      <c r="F16" t="s">
        <v>240</v>
      </c>
    </row>
    <row r="17" spans="1:6" x14ac:dyDescent="0.25">
      <c r="A17">
        <v>14</v>
      </c>
      <c r="B17" t="s">
        <v>238</v>
      </c>
      <c r="C17">
        <v>0</v>
      </c>
      <c r="D17">
        <v>0</v>
      </c>
      <c r="E17" t="s">
        <v>239</v>
      </c>
      <c r="F17" t="s">
        <v>240</v>
      </c>
    </row>
    <row r="18" spans="1:6" x14ac:dyDescent="0.25">
      <c r="A18">
        <v>15</v>
      </c>
      <c r="B18" t="s">
        <v>238</v>
      </c>
      <c r="C18">
        <v>0</v>
      </c>
      <c r="D18">
        <v>0</v>
      </c>
      <c r="E18" t="s">
        <v>239</v>
      </c>
      <c r="F18" t="s">
        <v>240</v>
      </c>
    </row>
    <row r="19" spans="1:6" x14ac:dyDescent="0.25">
      <c r="A19">
        <v>16</v>
      </c>
      <c r="B19" t="s">
        <v>238</v>
      </c>
      <c r="C19">
        <v>0</v>
      </c>
      <c r="D19">
        <v>0</v>
      </c>
      <c r="E19" t="s">
        <v>239</v>
      </c>
      <c r="F19" t="s">
        <v>240</v>
      </c>
    </row>
    <row r="20" spans="1:6" x14ac:dyDescent="0.25">
      <c r="A20">
        <v>17</v>
      </c>
      <c r="B20" t="s">
        <v>238</v>
      </c>
      <c r="C20">
        <v>0</v>
      </c>
      <c r="D20">
        <v>0</v>
      </c>
      <c r="E20" t="s">
        <v>239</v>
      </c>
      <c r="F20" t="s">
        <v>240</v>
      </c>
    </row>
    <row r="21" spans="1:6" x14ac:dyDescent="0.25">
      <c r="A21">
        <v>18</v>
      </c>
      <c r="B21" t="s">
        <v>238</v>
      </c>
      <c r="C21">
        <v>0</v>
      </c>
      <c r="D21">
        <v>0</v>
      </c>
      <c r="E21" t="s">
        <v>239</v>
      </c>
      <c r="F21" t="s">
        <v>240</v>
      </c>
    </row>
    <row r="22" spans="1:6" x14ac:dyDescent="0.25">
      <c r="A22">
        <v>19</v>
      </c>
      <c r="B22" t="s">
        <v>238</v>
      </c>
      <c r="C22">
        <v>0</v>
      </c>
      <c r="D22">
        <v>0</v>
      </c>
      <c r="E22" t="s">
        <v>239</v>
      </c>
      <c r="F22" t="s">
        <v>240</v>
      </c>
    </row>
    <row r="23" spans="1:6" x14ac:dyDescent="0.25">
      <c r="A23">
        <v>20</v>
      </c>
      <c r="B23" t="s">
        <v>238</v>
      </c>
      <c r="C23">
        <v>0</v>
      </c>
      <c r="D23">
        <v>0</v>
      </c>
      <c r="E23" t="s">
        <v>239</v>
      </c>
      <c r="F23" t="s">
        <v>240</v>
      </c>
    </row>
    <row r="24" spans="1:6" x14ac:dyDescent="0.25">
      <c r="A24">
        <v>21</v>
      </c>
      <c r="B24" t="s">
        <v>238</v>
      </c>
      <c r="C24">
        <v>0</v>
      </c>
      <c r="D24">
        <v>0</v>
      </c>
      <c r="E24" t="s">
        <v>239</v>
      </c>
      <c r="F24" t="s">
        <v>240</v>
      </c>
    </row>
    <row r="25" spans="1:6" x14ac:dyDescent="0.25">
      <c r="A25">
        <v>22</v>
      </c>
      <c r="B25" t="s">
        <v>238</v>
      </c>
      <c r="C25">
        <v>0</v>
      </c>
      <c r="D25">
        <v>0</v>
      </c>
      <c r="E25" t="s">
        <v>239</v>
      </c>
      <c r="F25" t="s">
        <v>240</v>
      </c>
    </row>
    <row r="26" spans="1:6" x14ac:dyDescent="0.25">
      <c r="A26">
        <v>23</v>
      </c>
      <c r="B26" t="s">
        <v>238</v>
      </c>
      <c r="C26">
        <v>0</v>
      </c>
      <c r="D26">
        <v>0</v>
      </c>
      <c r="E26" t="s">
        <v>239</v>
      </c>
      <c r="F26" t="s">
        <v>240</v>
      </c>
    </row>
    <row r="27" spans="1:6" x14ac:dyDescent="0.25">
      <c r="A27">
        <v>24</v>
      </c>
      <c r="B27" t="s">
        <v>238</v>
      </c>
      <c r="C27">
        <v>0</v>
      </c>
      <c r="D27">
        <v>0</v>
      </c>
      <c r="E27" t="s">
        <v>239</v>
      </c>
      <c r="F27" t="s">
        <v>240</v>
      </c>
    </row>
    <row r="28" spans="1:6" x14ac:dyDescent="0.25">
      <c r="A28">
        <v>25</v>
      </c>
      <c r="B28" t="s">
        <v>238</v>
      </c>
      <c r="C28">
        <v>0</v>
      </c>
      <c r="D28">
        <v>0</v>
      </c>
      <c r="E28" t="s">
        <v>239</v>
      </c>
      <c r="F28" t="s">
        <v>240</v>
      </c>
    </row>
    <row r="29" spans="1:6" x14ac:dyDescent="0.25">
      <c r="A29">
        <v>26</v>
      </c>
      <c r="B29" t="s">
        <v>238</v>
      </c>
      <c r="C29">
        <v>0</v>
      </c>
      <c r="D29">
        <v>0</v>
      </c>
      <c r="E29" t="s">
        <v>239</v>
      </c>
      <c r="F29" t="s">
        <v>240</v>
      </c>
    </row>
    <row r="30" spans="1:6" x14ac:dyDescent="0.25">
      <c r="A30">
        <v>27</v>
      </c>
      <c r="B30" t="s">
        <v>238</v>
      </c>
      <c r="C30">
        <v>0</v>
      </c>
      <c r="D30">
        <v>0</v>
      </c>
      <c r="E30" t="s">
        <v>239</v>
      </c>
      <c r="F30" t="s">
        <v>240</v>
      </c>
    </row>
    <row r="31" spans="1:6" x14ac:dyDescent="0.25">
      <c r="A31">
        <v>28</v>
      </c>
      <c r="B31" t="s">
        <v>238</v>
      </c>
      <c r="C31">
        <v>0</v>
      </c>
      <c r="D31">
        <v>0</v>
      </c>
      <c r="E31" t="s">
        <v>239</v>
      </c>
      <c r="F31" t="s">
        <v>240</v>
      </c>
    </row>
    <row r="32" spans="1:6" x14ac:dyDescent="0.25">
      <c r="A32">
        <v>29</v>
      </c>
      <c r="B32" t="s">
        <v>238</v>
      </c>
      <c r="C32">
        <v>0</v>
      </c>
      <c r="D32">
        <v>0</v>
      </c>
      <c r="E32" t="s">
        <v>239</v>
      </c>
      <c r="F32" t="s">
        <v>240</v>
      </c>
    </row>
    <row r="33" spans="1:6" x14ac:dyDescent="0.25">
      <c r="A33">
        <v>30</v>
      </c>
      <c r="B33" t="s">
        <v>238</v>
      </c>
      <c r="C33">
        <v>0</v>
      </c>
      <c r="D33">
        <v>0</v>
      </c>
      <c r="E33" t="s">
        <v>239</v>
      </c>
      <c r="F33" t="s">
        <v>240</v>
      </c>
    </row>
    <row r="34" spans="1:6" x14ac:dyDescent="0.25">
      <c r="A34">
        <v>31</v>
      </c>
      <c r="B34" t="s">
        <v>238</v>
      </c>
      <c r="C34">
        <v>0</v>
      </c>
      <c r="D34">
        <v>0</v>
      </c>
      <c r="E34" t="s">
        <v>239</v>
      </c>
      <c r="F34" t="s">
        <v>240</v>
      </c>
    </row>
    <row r="35" spans="1:6" x14ac:dyDescent="0.25">
      <c r="A35">
        <v>32</v>
      </c>
      <c r="B35" t="s">
        <v>238</v>
      </c>
      <c r="C35">
        <v>0</v>
      </c>
      <c r="D35">
        <v>0</v>
      </c>
      <c r="E35" t="s">
        <v>239</v>
      </c>
      <c r="F35" t="s">
        <v>240</v>
      </c>
    </row>
    <row r="36" spans="1:6" x14ac:dyDescent="0.25">
      <c r="A36">
        <v>33</v>
      </c>
      <c r="B36" t="s">
        <v>238</v>
      </c>
      <c r="C36">
        <v>0</v>
      </c>
      <c r="D36">
        <v>0</v>
      </c>
      <c r="E36" t="s">
        <v>239</v>
      </c>
      <c r="F36" t="s">
        <v>240</v>
      </c>
    </row>
    <row r="37" spans="1:6" x14ac:dyDescent="0.25">
      <c r="A37">
        <v>34</v>
      </c>
      <c r="B37" t="s">
        <v>238</v>
      </c>
      <c r="C37">
        <v>0</v>
      </c>
      <c r="D37">
        <v>0</v>
      </c>
      <c r="E37" t="s">
        <v>239</v>
      </c>
      <c r="F37" t="s">
        <v>240</v>
      </c>
    </row>
    <row r="38" spans="1:6" x14ac:dyDescent="0.25">
      <c r="A38">
        <v>35</v>
      </c>
      <c r="B38" t="s">
        <v>238</v>
      </c>
      <c r="C38">
        <v>0</v>
      </c>
      <c r="D38">
        <v>0</v>
      </c>
      <c r="E38" t="s">
        <v>239</v>
      </c>
      <c r="F38" t="s">
        <v>240</v>
      </c>
    </row>
    <row r="39" spans="1:6" x14ac:dyDescent="0.25">
      <c r="A39">
        <v>36</v>
      </c>
      <c r="B39" t="s">
        <v>238</v>
      </c>
      <c r="C39">
        <v>0</v>
      </c>
      <c r="D39">
        <v>0</v>
      </c>
      <c r="E39" t="s">
        <v>239</v>
      </c>
      <c r="F39" t="s">
        <v>240</v>
      </c>
    </row>
    <row r="40" spans="1:6" x14ac:dyDescent="0.25">
      <c r="A40">
        <v>37</v>
      </c>
      <c r="B40" t="s">
        <v>238</v>
      </c>
      <c r="C40">
        <v>0</v>
      </c>
      <c r="D40">
        <v>0</v>
      </c>
      <c r="E40" t="s">
        <v>239</v>
      </c>
      <c r="F40" t="s">
        <v>240</v>
      </c>
    </row>
    <row r="41" spans="1:6" x14ac:dyDescent="0.25">
      <c r="A41">
        <v>38</v>
      </c>
      <c r="B41" t="s">
        <v>238</v>
      </c>
      <c r="C41">
        <v>0</v>
      </c>
      <c r="D41">
        <v>0</v>
      </c>
      <c r="E41" t="s">
        <v>239</v>
      </c>
      <c r="F41" t="s">
        <v>240</v>
      </c>
    </row>
    <row r="42" spans="1:6" x14ac:dyDescent="0.25">
      <c r="A42">
        <v>39</v>
      </c>
      <c r="B42" t="s">
        <v>238</v>
      </c>
      <c r="C42">
        <v>0</v>
      </c>
      <c r="D42">
        <v>0</v>
      </c>
      <c r="E42" t="s">
        <v>239</v>
      </c>
      <c r="F42" t="s">
        <v>240</v>
      </c>
    </row>
    <row r="43" spans="1:6" x14ac:dyDescent="0.25">
      <c r="A43">
        <v>40</v>
      </c>
      <c r="B43" t="s">
        <v>238</v>
      </c>
      <c r="C43">
        <v>0</v>
      </c>
      <c r="D43">
        <v>0</v>
      </c>
      <c r="E43" t="s">
        <v>239</v>
      </c>
      <c r="F43" t="s">
        <v>240</v>
      </c>
    </row>
    <row r="44" spans="1:6" x14ac:dyDescent="0.25">
      <c r="A44">
        <v>41</v>
      </c>
      <c r="B44" t="s">
        <v>238</v>
      </c>
      <c r="C44">
        <v>0</v>
      </c>
      <c r="D44">
        <v>0</v>
      </c>
      <c r="E44" t="s">
        <v>239</v>
      </c>
      <c r="F44" t="s">
        <v>240</v>
      </c>
    </row>
    <row r="45" spans="1:6" x14ac:dyDescent="0.25">
      <c r="A45">
        <v>42</v>
      </c>
      <c r="B45" t="s">
        <v>238</v>
      </c>
      <c r="C45">
        <v>0</v>
      </c>
      <c r="D45">
        <v>0</v>
      </c>
      <c r="E45" t="s">
        <v>239</v>
      </c>
      <c r="F45" t="s">
        <v>240</v>
      </c>
    </row>
    <row r="46" spans="1:6" x14ac:dyDescent="0.25">
      <c r="A46">
        <v>43</v>
      </c>
      <c r="B46" t="s">
        <v>238</v>
      </c>
      <c r="C46">
        <v>0</v>
      </c>
      <c r="D46">
        <v>0</v>
      </c>
      <c r="E46" t="s">
        <v>239</v>
      </c>
      <c r="F46" t="s">
        <v>240</v>
      </c>
    </row>
    <row r="47" spans="1:6" x14ac:dyDescent="0.25">
      <c r="A47">
        <v>44</v>
      </c>
      <c r="B47" t="s">
        <v>238</v>
      </c>
      <c r="C47">
        <v>0</v>
      </c>
      <c r="D47">
        <v>0</v>
      </c>
      <c r="E47" t="s">
        <v>239</v>
      </c>
      <c r="F47" t="s">
        <v>240</v>
      </c>
    </row>
    <row r="48" spans="1:6" x14ac:dyDescent="0.25">
      <c r="A48">
        <v>45</v>
      </c>
      <c r="B48" t="s">
        <v>238</v>
      </c>
      <c r="C48">
        <v>0</v>
      </c>
      <c r="D48">
        <v>0</v>
      </c>
      <c r="E48" t="s">
        <v>239</v>
      </c>
      <c r="F48" t="s">
        <v>240</v>
      </c>
    </row>
    <row r="49" spans="1:6" x14ac:dyDescent="0.25">
      <c r="A49">
        <v>46</v>
      </c>
      <c r="B49" t="s">
        <v>238</v>
      </c>
      <c r="C49">
        <v>0</v>
      </c>
      <c r="D49">
        <v>0</v>
      </c>
      <c r="E49" t="s">
        <v>239</v>
      </c>
      <c r="F49" t="s">
        <v>240</v>
      </c>
    </row>
    <row r="50" spans="1:6" x14ac:dyDescent="0.25">
      <c r="A50">
        <v>47</v>
      </c>
      <c r="B50" t="s">
        <v>238</v>
      </c>
      <c r="C50">
        <v>0</v>
      </c>
      <c r="D50">
        <v>0</v>
      </c>
      <c r="E50" t="s">
        <v>239</v>
      </c>
      <c r="F50" t="s">
        <v>240</v>
      </c>
    </row>
    <row r="51" spans="1:6" x14ac:dyDescent="0.25">
      <c r="A51">
        <v>48</v>
      </c>
      <c r="B51" t="s">
        <v>238</v>
      </c>
      <c r="C51">
        <v>0</v>
      </c>
      <c r="D51">
        <v>0</v>
      </c>
      <c r="E51" t="s">
        <v>239</v>
      </c>
      <c r="F51" t="s">
        <v>240</v>
      </c>
    </row>
    <row r="52" spans="1:6" x14ac:dyDescent="0.25">
      <c r="A52">
        <v>49</v>
      </c>
      <c r="B52" t="s">
        <v>238</v>
      </c>
      <c r="C52">
        <v>0</v>
      </c>
      <c r="D52">
        <v>0</v>
      </c>
      <c r="E52" t="s">
        <v>239</v>
      </c>
      <c r="F52" t="s">
        <v>240</v>
      </c>
    </row>
    <row r="53" spans="1:6" x14ac:dyDescent="0.25">
      <c r="A53">
        <v>50</v>
      </c>
      <c r="B53" t="s">
        <v>238</v>
      </c>
      <c r="C53">
        <v>0</v>
      </c>
      <c r="D53">
        <v>0</v>
      </c>
      <c r="E53" t="s">
        <v>239</v>
      </c>
      <c r="F53" t="s">
        <v>240</v>
      </c>
    </row>
    <row r="54" spans="1:6" x14ac:dyDescent="0.25">
      <c r="A54">
        <v>51</v>
      </c>
      <c r="B54" t="s">
        <v>238</v>
      </c>
      <c r="C54">
        <v>0</v>
      </c>
      <c r="D54">
        <v>0</v>
      </c>
      <c r="E54" t="s">
        <v>239</v>
      </c>
      <c r="F54" t="s">
        <v>240</v>
      </c>
    </row>
    <row r="55" spans="1:6" x14ac:dyDescent="0.25">
      <c r="A55">
        <v>52</v>
      </c>
      <c r="B55" t="s">
        <v>238</v>
      </c>
      <c r="C55">
        <v>0</v>
      </c>
      <c r="D55">
        <v>0</v>
      </c>
      <c r="E55" t="s">
        <v>239</v>
      </c>
      <c r="F55" t="s">
        <v>240</v>
      </c>
    </row>
    <row r="56" spans="1:6" x14ac:dyDescent="0.25">
      <c r="A56">
        <v>53</v>
      </c>
      <c r="B56" t="s">
        <v>238</v>
      </c>
      <c r="C56">
        <v>0</v>
      </c>
      <c r="D56">
        <v>0</v>
      </c>
      <c r="E56" t="s">
        <v>239</v>
      </c>
      <c r="F56" t="s">
        <v>240</v>
      </c>
    </row>
    <row r="57" spans="1:6" x14ac:dyDescent="0.25">
      <c r="A57">
        <v>54</v>
      </c>
      <c r="B57" t="s">
        <v>238</v>
      </c>
      <c r="C57">
        <v>0</v>
      </c>
      <c r="D57">
        <v>0</v>
      </c>
      <c r="E57" t="s">
        <v>239</v>
      </c>
      <c r="F57" t="s">
        <v>240</v>
      </c>
    </row>
    <row r="58" spans="1:6" x14ac:dyDescent="0.25">
      <c r="A58">
        <v>55</v>
      </c>
      <c r="B58" t="s">
        <v>238</v>
      </c>
      <c r="C58">
        <v>0</v>
      </c>
      <c r="D58">
        <v>0</v>
      </c>
      <c r="E58" t="s">
        <v>239</v>
      </c>
      <c r="F58" t="s">
        <v>240</v>
      </c>
    </row>
    <row r="59" spans="1:6" x14ac:dyDescent="0.25">
      <c r="A59">
        <v>56</v>
      </c>
      <c r="B59" t="s">
        <v>238</v>
      </c>
      <c r="C59">
        <v>0</v>
      </c>
      <c r="D59">
        <v>0</v>
      </c>
      <c r="E59" t="s">
        <v>239</v>
      </c>
      <c r="F59" t="s">
        <v>240</v>
      </c>
    </row>
    <row r="60" spans="1:6" x14ac:dyDescent="0.25">
      <c r="A60">
        <v>57</v>
      </c>
      <c r="B60" t="s">
        <v>238</v>
      </c>
      <c r="C60">
        <v>0</v>
      </c>
      <c r="D60">
        <v>0</v>
      </c>
      <c r="E60" t="s">
        <v>239</v>
      </c>
      <c r="F60" t="s">
        <v>240</v>
      </c>
    </row>
    <row r="61" spans="1:6" x14ac:dyDescent="0.25">
      <c r="A61">
        <v>58</v>
      </c>
      <c r="B61" t="s">
        <v>238</v>
      </c>
      <c r="C61">
        <v>0</v>
      </c>
      <c r="D61">
        <v>0</v>
      </c>
      <c r="E61" t="s">
        <v>239</v>
      </c>
      <c r="F61" t="s">
        <v>240</v>
      </c>
    </row>
    <row r="62" spans="1:6" x14ac:dyDescent="0.25">
      <c r="A62">
        <v>59</v>
      </c>
      <c r="B62" t="s">
        <v>238</v>
      </c>
      <c r="C62">
        <v>0</v>
      </c>
      <c r="D62">
        <v>0</v>
      </c>
      <c r="E62" t="s">
        <v>239</v>
      </c>
      <c r="F62" t="s">
        <v>240</v>
      </c>
    </row>
    <row r="63" spans="1:6" s="12" customFormat="1" x14ac:dyDescent="0.25">
      <c r="A63" s="12">
        <v>60</v>
      </c>
      <c r="B63" s="12" t="s">
        <v>238</v>
      </c>
      <c r="C63" s="12">
        <v>0</v>
      </c>
      <c r="D63" s="12">
        <v>0</v>
      </c>
      <c r="E63" s="12" t="s">
        <v>239</v>
      </c>
      <c r="F63" s="12" t="s">
        <v>240</v>
      </c>
    </row>
    <row r="64" spans="1:6" s="12" customFormat="1" x14ac:dyDescent="0.25">
      <c r="A64" s="12">
        <v>61</v>
      </c>
      <c r="B64" s="12" t="s">
        <v>238</v>
      </c>
      <c r="C64" s="12">
        <v>0</v>
      </c>
      <c r="D64" s="12">
        <v>0</v>
      </c>
      <c r="E64" s="12" t="s">
        <v>239</v>
      </c>
      <c r="F64" s="12" t="s">
        <v>240</v>
      </c>
    </row>
    <row r="65" spans="1:6" s="12" customFormat="1" x14ac:dyDescent="0.25">
      <c r="A65" s="12">
        <v>62</v>
      </c>
      <c r="B65" s="12" t="s">
        <v>238</v>
      </c>
      <c r="C65" s="12">
        <v>0</v>
      </c>
      <c r="D65" s="12">
        <v>0</v>
      </c>
      <c r="E65" s="12" t="s">
        <v>239</v>
      </c>
      <c r="F65" s="12" t="s">
        <v>240</v>
      </c>
    </row>
    <row r="66" spans="1:6" s="12" customFormat="1" x14ac:dyDescent="0.25">
      <c r="A66" s="12">
        <v>63</v>
      </c>
      <c r="B66" s="12" t="s">
        <v>238</v>
      </c>
      <c r="C66" s="12">
        <v>0</v>
      </c>
      <c r="D66" s="12">
        <v>0</v>
      </c>
      <c r="E66" s="12" t="s">
        <v>239</v>
      </c>
      <c r="F66" s="12" t="s">
        <v>240</v>
      </c>
    </row>
    <row r="67" spans="1:6" s="12" customFormat="1" x14ac:dyDescent="0.25">
      <c r="A67" s="12">
        <v>64</v>
      </c>
      <c r="B67" s="12" t="s">
        <v>238</v>
      </c>
      <c r="C67" s="12">
        <v>0</v>
      </c>
      <c r="D67" s="12">
        <v>0</v>
      </c>
      <c r="E67" s="12" t="s">
        <v>239</v>
      </c>
      <c r="F67" s="12" t="s">
        <v>240</v>
      </c>
    </row>
    <row r="68" spans="1:6" s="12" customFormat="1" x14ac:dyDescent="0.25">
      <c r="A68" s="12">
        <v>65</v>
      </c>
      <c r="B68" s="12" t="s">
        <v>238</v>
      </c>
      <c r="C68" s="12">
        <v>0</v>
      </c>
      <c r="D68" s="12">
        <v>0</v>
      </c>
      <c r="E68" s="12" t="s">
        <v>239</v>
      </c>
      <c r="F68" s="12" t="s">
        <v>240</v>
      </c>
    </row>
    <row r="69" spans="1:6" s="12" customFormat="1" x14ac:dyDescent="0.25">
      <c r="A69" s="12">
        <v>66</v>
      </c>
      <c r="B69" s="12" t="s">
        <v>238</v>
      </c>
      <c r="C69" s="12">
        <v>0</v>
      </c>
      <c r="D69" s="12">
        <v>0</v>
      </c>
      <c r="E69" s="12" t="s">
        <v>239</v>
      </c>
      <c r="F69" s="12" t="s">
        <v>240</v>
      </c>
    </row>
    <row r="70" spans="1:6" s="12" customFormat="1" x14ac:dyDescent="0.25">
      <c r="A70" s="12">
        <v>67</v>
      </c>
      <c r="B70" s="12" t="s">
        <v>238</v>
      </c>
      <c r="C70" s="12">
        <v>0</v>
      </c>
      <c r="D70" s="12">
        <v>0</v>
      </c>
      <c r="E70" s="12" t="s">
        <v>239</v>
      </c>
      <c r="F70" s="12" t="s">
        <v>240</v>
      </c>
    </row>
    <row r="71" spans="1:6" x14ac:dyDescent="0.25">
      <c r="A71" s="5">
        <v>1</v>
      </c>
      <c r="B71" s="5" t="s">
        <v>238</v>
      </c>
      <c r="C71" s="5">
        <v>0</v>
      </c>
      <c r="D71" s="5">
        <v>0</v>
      </c>
      <c r="E71" s="5" t="s">
        <v>239</v>
      </c>
      <c r="F71" s="5" t="s">
        <v>240</v>
      </c>
    </row>
    <row r="72" spans="1:6" x14ac:dyDescent="0.25">
      <c r="A72" s="5">
        <v>2</v>
      </c>
      <c r="B72" s="5" t="s">
        <v>238</v>
      </c>
      <c r="C72" s="5">
        <v>1614.9</v>
      </c>
      <c r="D72" s="5">
        <v>1614.9</v>
      </c>
      <c r="E72" s="5" t="s">
        <v>239</v>
      </c>
      <c r="F72" s="5" t="s">
        <v>240</v>
      </c>
    </row>
    <row r="73" spans="1:6" x14ac:dyDescent="0.25">
      <c r="A73" s="5">
        <v>3</v>
      </c>
      <c r="B73" s="5" t="s">
        <v>238</v>
      </c>
      <c r="C73" s="5">
        <v>1614.9</v>
      </c>
      <c r="D73" s="5">
        <v>1614.9</v>
      </c>
      <c r="E73" s="5" t="s">
        <v>239</v>
      </c>
      <c r="F73" s="5" t="s">
        <v>240</v>
      </c>
    </row>
    <row r="74" spans="1:6" x14ac:dyDescent="0.25">
      <c r="A74" s="5">
        <v>4</v>
      </c>
      <c r="B74" s="5" t="s">
        <v>238</v>
      </c>
      <c r="C74" s="5">
        <v>1614.9</v>
      </c>
      <c r="D74" s="5">
        <v>1614.9</v>
      </c>
      <c r="E74" s="5" t="s">
        <v>239</v>
      </c>
      <c r="F74" s="5" t="s">
        <v>240</v>
      </c>
    </row>
    <row r="75" spans="1:6" x14ac:dyDescent="0.25">
      <c r="A75" s="5">
        <v>5</v>
      </c>
      <c r="B75" s="5" t="s">
        <v>238</v>
      </c>
      <c r="C75" s="5">
        <v>1614.9</v>
      </c>
      <c r="D75" s="5">
        <v>1614.9</v>
      </c>
      <c r="E75" s="5" t="s">
        <v>239</v>
      </c>
      <c r="F75" s="5" t="s">
        <v>240</v>
      </c>
    </row>
    <row r="76" spans="1:6" x14ac:dyDescent="0.25">
      <c r="A76" s="5">
        <v>6</v>
      </c>
      <c r="B76" s="5" t="s">
        <v>238</v>
      </c>
      <c r="C76" s="5">
        <v>1614.9</v>
      </c>
      <c r="D76" s="5">
        <v>1614.9</v>
      </c>
      <c r="E76" s="5" t="s">
        <v>239</v>
      </c>
      <c r="F76" s="5" t="s">
        <v>240</v>
      </c>
    </row>
    <row r="77" spans="1:6" x14ac:dyDescent="0.25">
      <c r="A77" s="5">
        <v>7</v>
      </c>
      <c r="B77" s="5" t="s">
        <v>238</v>
      </c>
      <c r="C77" s="5">
        <v>1614.9</v>
      </c>
      <c r="D77" s="5">
        <v>1614.9</v>
      </c>
      <c r="E77" s="5" t="s">
        <v>239</v>
      </c>
      <c r="F77" s="5" t="s">
        <v>240</v>
      </c>
    </row>
    <row r="78" spans="1:6" x14ac:dyDescent="0.25">
      <c r="A78" s="5">
        <v>8</v>
      </c>
      <c r="B78" s="5" t="s">
        <v>238</v>
      </c>
      <c r="C78" s="5">
        <v>1614.9</v>
      </c>
      <c r="D78" s="5">
        <v>1614.9</v>
      </c>
      <c r="E78" s="5" t="s">
        <v>239</v>
      </c>
      <c r="F78" s="5" t="s">
        <v>240</v>
      </c>
    </row>
    <row r="79" spans="1:6" x14ac:dyDescent="0.25">
      <c r="A79" s="5">
        <v>9</v>
      </c>
      <c r="B79" s="5" t="s">
        <v>238</v>
      </c>
      <c r="C79" s="5">
        <v>1614.9</v>
      </c>
      <c r="D79" s="5">
        <v>1614.9</v>
      </c>
      <c r="E79" s="5" t="s">
        <v>239</v>
      </c>
      <c r="F79" s="5" t="s">
        <v>240</v>
      </c>
    </row>
    <row r="80" spans="1:6" x14ac:dyDescent="0.25">
      <c r="A80" s="5">
        <v>10</v>
      </c>
      <c r="B80" s="5" t="s">
        <v>238</v>
      </c>
      <c r="C80" s="5">
        <v>1614.9</v>
      </c>
      <c r="D80" s="5">
        <v>1614.9</v>
      </c>
      <c r="E80" s="5" t="s">
        <v>239</v>
      </c>
      <c r="F80" s="5" t="s">
        <v>240</v>
      </c>
    </row>
    <row r="81" spans="1:6" x14ac:dyDescent="0.25">
      <c r="A81" s="5">
        <v>11</v>
      </c>
      <c r="B81" s="5" t="s">
        <v>238</v>
      </c>
      <c r="C81" s="5">
        <v>1614.9</v>
      </c>
      <c r="D81" s="5">
        <v>1614.9</v>
      </c>
      <c r="E81" s="5" t="s">
        <v>239</v>
      </c>
      <c r="F81" s="5" t="s">
        <v>240</v>
      </c>
    </row>
    <row r="82" spans="1:6" x14ac:dyDescent="0.25">
      <c r="A82" s="5">
        <v>12</v>
      </c>
      <c r="B82" s="5" t="s">
        <v>238</v>
      </c>
      <c r="C82" s="5">
        <v>1614.9</v>
      </c>
      <c r="D82" s="5">
        <v>1614.9</v>
      </c>
      <c r="E82" s="5" t="s">
        <v>239</v>
      </c>
      <c r="F82" s="5" t="s">
        <v>240</v>
      </c>
    </row>
    <row r="83" spans="1:6" x14ac:dyDescent="0.25">
      <c r="A83" s="5">
        <v>13</v>
      </c>
      <c r="B83" s="5" t="s">
        <v>238</v>
      </c>
      <c r="C83" s="5">
        <v>1614.9</v>
      </c>
      <c r="D83" s="5">
        <v>1614.9</v>
      </c>
      <c r="E83" s="5" t="s">
        <v>239</v>
      </c>
      <c r="F83" s="5" t="s">
        <v>240</v>
      </c>
    </row>
    <row r="84" spans="1:6" x14ac:dyDescent="0.25">
      <c r="A84" s="5">
        <v>14</v>
      </c>
      <c r="B84" s="5" t="s">
        <v>238</v>
      </c>
      <c r="C84" s="5">
        <v>1614.9</v>
      </c>
      <c r="D84" s="5">
        <v>1614.9</v>
      </c>
      <c r="E84" s="5" t="s">
        <v>239</v>
      </c>
      <c r="F84" s="5" t="s">
        <v>240</v>
      </c>
    </row>
    <row r="85" spans="1:6" x14ac:dyDescent="0.25">
      <c r="A85" s="5">
        <v>15</v>
      </c>
      <c r="B85" s="5" t="s">
        <v>238</v>
      </c>
      <c r="C85" s="5">
        <v>1614.9</v>
      </c>
      <c r="D85" s="5">
        <v>1614.9</v>
      </c>
      <c r="E85" s="5" t="s">
        <v>239</v>
      </c>
      <c r="F85" s="5" t="s">
        <v>240</v>
      </c>
    </row>
    <row r="86" spans="1:6" x14ac:dyDescent="0.25">
      <c r="A86" s="5">
        <v>16</v>
      </c>
      <c r="B86" s="5" t="s">
        <v>238</v>
      </c>
      <c r="C86" s="5">
        <v>1614.9</v>
      </c>
      <c r="D86" s="5">
        <v>1614.9</v>
      </c>
      <c r="E86" s="5" t="s">
        <v>239</v>
      </c>
      <c r="F86" s="5" t="s">
        <v>240</v>
      </c>
    </row>
    <row r="87" spans="1:6" x14ac:dyDescent="0.25">
      <c r="A87" s="5">
        <v>17</v>
      </c>
      <c r="B87" s="5" t="s">
        <v>238</v>
      </c>
      <c r="C87" s="5">
        <v>0</v>
      </c>
      <c r="D87" s="5">
        <v>0</v>
      </c>
      <c r="E87" s="5" t="s">
        <v>239</v>
      </c>
      <c r="F87" s="5" t="s">
        <v>240</v>
      </c>
    </row>
    <row r="88" spans="1:6" x14ac:dyDescent="0.25">
      <c r="A88" s="5">
        <v>18</v>
      </c>
      <c r="B88" s="5" t="s">
        <v>238</v>
      </c>
      <c r="C88" s="5">
        <v>0</v>
      </c>
      <c r="D88" s="5">
        <v>0</v>
      </c>
      <c r="E88" s="5" t="s">
        <v>239</v>
      </c>
      <c r="F88" s="5" t="s">
        <v>240</v>
      </c>
    </row>
    <row r="89" spans="1:6" x14ac:dyDescent="0.25">
      <c r="A89" s="5">
        <v>19</v>
      </c>
      <c r="B89" s="5" t="s">
        <v>238</v>
      </c>
      <c r="C89" s="5">
        <v>1614.9</v>
      </c>
      <c r="D89" s="5">
        <v>1614.9</v>
      </c>
      <c r="E89" s="5" t="s">
        <v>239</v>
      </c>
      <c r="F89" s="5" t="s">
        <v>240</v>
      </c>
    </row>
    <row r="90" spans="1:6" x14ac:dyDescent="0.25">
      <c r="A90" s="5">
        <v>20</v>
      </c>
      <c r="B90" s="5" t="s">
        <v>238</v>
      </c>
      <c r="C90" s="5">
        <v>1614.9</v>
      </c>
      <c r="D90" s="5">
        <v>1614.9</v>
      </c>
      <c r="E90" s="5" t="s">
        <v>239</v>
      </c>
      <c r="F90" s="5" t="s">
        <v>240</v>
      </c>
    </row>
    <row r="91" spans="1:6" x14ac:dyDescent="0.25">
      <c r="A91" s="5">
        <v>21</v>
      </c>
      <c r="B91" s="5" t="s">
        <v>238</v>
      </c>
      <c r="C91" s="5">
        <v>1614.9</v>
      </c>
      <c r="D91" s="5">
        <v>1614.9</v>
      </c>
      <c r="E91" s="5" t="s">
        <v>239</v>
      </c>
      <c r="F91" s="5" t="s">
        <v>240</v>
      </c>
    </row>
    <row r="92" spans="1:6" x14ac:dyDescent="0.25">
      <c r="A92" s="5">
        <v>22</v>
      </c>
      <c r="B92" s="5" t="s">
        <v>238</v>
      </c>
      <c r="C92" s="5">
        <v>1614.9</v>
      </c>
      <c r="D92" s="5">
        <v>1614.9</v>
      </c>
      <c r="E92" s="5" t="s">
        <v>239</v>
      </c>
      <c r="F92" s="5" t="s">
        <v>240</v>
      </c>
    </row>
    <row r="93" spans="1:6" x14ac:dyDescent="0.25">
      <c r="A93" s="5">
        <v>23</v>
      </c>
      <c r="B93" s="5" t="s">
        <v>238</v>
      </c>
      <c r="C93" s="5">
        <v>1614.9</v>
      </c>
      <c r="D93" s="5">
        <v>1614.9</v>
      </c>
      <c r="E93" s="5" t="s">
        <v>239</v>
      </c>
      <c r="F93" s="5" t="s">
        <v>240</v>
      </c>
    </row>
    <row r="94" spans="1:6" x14ac:dyDescent="0.25">
      <c r="A94" s="5">
        <v>24</v>
      </c>
      <c r="B94" s="5" t="s">
        <v>238</v>
      </c>
      <c r="C94" s="5">
        <v>0</v>
      </c>
      <c r="D94" s="5">
        <v>0</v>
      </c>
      <c r="E94" s="5" t="s">
        <v>239</v>
      </c>
      <c r="F94" s="5" t="s">
        <v>240</v>
      </c>
    </row>
    <row r="95" spans="1:6" x14ac:dyDescent="0.25">
      <c r="A95" s="5">
        <v>25</v>
      </c>
      <c r="B95" s="5" t="s">
        <v>238</v>
      </c>
      <c r="C95" s="5">
        <v>1614.9</v>
      </c>
      <c r="D95" s="5">
        <v>1614.9</v>
      </c>
      <c r="E95" s="5" t="s">
        <v>239</v>
      </c>
      <c r="F95" s="5" t="s">
        <v>240</v>
      </c>
    </row>
    <row r="96" spans="1:6" x14ac:dyDescent="0.25">
      <c r="A96" s="5">
        <v>26</v>
      </c>
      <c r="B96" s="5" t="s">
        <v>238</v>
      </c>
      <c r="C96" s="5">
        <v>1614.9</v>
      </c>
      <c r="D96" s="5">
        <v>1614.9</v>
      </c>
      <c r="E96" s="5" t="s">
        <v>239</v>
      </c>
      <c r="F96" s="5" t="s">
        <v>240</v>
      </c>
    </row>
    <row r="97" spans="1:6" x14ac:dyDescent="0.25">
      <c r="A97" s="5">
        <v>27</v>
      </c>
      <c r="B97" s="5" t="s">
        <v>238</v>
      </c>
      <c r="C97" s="5">
        <v>0</v>
      </c>
      <c r="D97" s="5">
        <v>0</v>
      </c>
      <c r="E97" s="5" t="s">
        <v>239</v>
      </c>
      <c r="F97" s="5" t="s">
        <v>240</v>
      </c>
    </row>
    <row r="98" spans="1:6" x14ac:dyDescent="0.25">
      <c r="A98" s="5">
        <v>28</v>
      </c>
      <c r="B98" s="5" t="s">
        <v>238</v>
      </c>
      <c r="C98" s="5">
        <v>1614.9</v>
      </c>
      <c r="D98" s="5">
        <v>1614.9</v>
      </c>
      <c r="E98" s="5" t="s">
        <v>239</v>
      </c>
      <c r="F98" s="5" t="s">
        <v>240</v>
      </c>
    </row>
    <row r="99" spans="1:6" x14ac:dyDescent="0.25">
      <c r="A99" s="5">
        <v>29</v>
      </c>
      <c r="B99" s="5" t="s">
        <v>238</v>
      </c>
      <c r="C99" s="5">
        <v>1614.9</v>
      </c>
      <c r="D99" s="5">
        <v>1614.9</v>
      </c>
      <c r="E99" s="5" t="s">
        <v>239</v>
      </c>
      <c r="F99" s="5" t="s">
        <v>240</v>
      </c>
    </row>
    <row r="100" spans="1:6" x14ac:dyDescent="0.25">
      <c r="A100" s="5">
        <v>30</v>
      </c>
      <c r="B100" s="5" t="s">
        <v>238</v>
      </c>
      <c r="C100" s="5">
        <v>1614.9</v>
      </c>
      <c r="D100" s="5">
        <v>1614.9</v>
      </c>
      <c r="E100" s="5" t="s">
        <v>239</v>
      </c>
      <c r="F100" s="5" t="s">
        <v>240</v>
      </c>
    </row>
    <row r="101" spans="1:6" x14ac:dyDescent="0.25">
      <c r="A101" s="5">
        <v>31</v>
      </c>
      <c r="B101" s="5" t="s">
        <v>238</v>
      </c>
      <c r="C101" s="5">
        <v>1614.9</v>
      </c>
      <c r="D101" s="5">
        <v>1614.9</v>
      </c>
      <c r="E101" s="5" t="s">
        <v>239</v>
      </c>
      <c r="F101" s="5" t="s">
        <v>240</v>
      </c>
    </row>
    <row r="102" spans="1:6" x14ac:dyDescent="0.25">
      <c r="A102" s="5">
        <v>32</v>
      </c>
      <c r="B102" s="5" t="s">
        <v>238</v>
      </c>
      <c r="C102" s="5">
        <v>1614.9</v>
      </c>
      <c r="D102" s="5">
        <v>1614.9</v>
      </c>
      <c r="E102" s="5" t="s">
        <v>239</v>
      </c>
      <c r="F102" s="5" t="s">
        <v>240</v>
      </c>
    </row>
    <row r="103" spans="1:6" x14ac:dyDescent="0.25">
      <c r="A103" s="5">
        <v>33</v>
      </c>
      <c r="B103" s="5" t="s">
        <v>238</v>
      </c>
      <c r="C103" s="5">
        <v>1614.9</v>
      </c>
      <c r="D103" s="5">
        <v>1614.9</v>
      </c>
      <c r="E103" s="5" t="s">
        <v>239</v>
      </c>
      <c r="F103" s="5" t="s">
        <v>240</v>
      </c>
    </row>
    <row r="104" spans="1:6" x14ac:dyDescent="0.25">
      <c r="A104" s="5">
        <v>34</v>
      </c>
      <c r="B104" s="5" t="s">
        <v>238</v>
      </c>
      <c r="C104" s="5">
        <v>1614.9</v>
      </c>
      <c r="D104" s="5">
        <v>1614.9</v>
      </c>
      <c r="E104" s="5" t="s">
        <v>239</v>
      </c>
      <c r="F104" s="5" t="s">
        <v>240</v>
      </c>
    </row>
    <row r="105" spans="1:6" x14ac:dyDescent="0.25">
      <c r="A105" s="5">
        <v>35</v>
      </c>
      <c r="B105" s="5" t="s">
        <v>238</v>
      </c>
      <c r="C105" s="5">
        <v>1614.9</v>
      </c>
      <c r="D105" s="5">
        <v>1614.9</v>
      </c>
      <c r="E105" s="5" t="s">
        <v>239</v>
      </c>
      <c r="F105" s="5" t="s">
        <v>240</v>
      </c>
    </row>
    <row r="106" spans="1:6" x14ac:dyDescent="0.25">
      <c r="A106" s="5">
        <v>36</v>
      </c>
      <c r="B106" s="5" t="s">
        <v>238</v>
      </c>
      <c r="C106" s="5">
        <v>1614.9</v>
      </c>
      <c r="D106" s="5">
        <v>1614.9</v>
      </c>
      <c r="E106" s="5" t="s">
        <v>239</v>
      </c>
      <c r="F106" s="5" t="s">
        <v>240</v>
      </c>
    </row>
    <row r="107" spans="1:6" x14ac:dyDescent="0.25">
      <c r="A107" s="5">
        <v>37</v>
      </c>
      <c r="B107" s="5" t="s">
        <v>238</v>
      </c>
      <c r="C107" s="5">
        <v>0</v>
      </c>
      <c r="D107" s="5">
        <v>0</v>
      </c>
      <c r="E107" s="5" t="s">
        <v>239</v>
      </c>
      <c r="F107" s="5" t="s">
        <v>240</v>
      </c>
    </row>
    <row r="108" spans="1:6" x14ac:dyDescent="0.25">
      <c r="A108" s="5">
        <v>38</v>
      </c>
      <c r="B108" s="5" t="s">
        <v>238</v>
      </c>
      <c r="C108" s="5">
        <v>1614.9</v>
      </c>
      <c r="D108" s="5">
        <v>1614.9</v>
      </c>
      <c r="E108" s="5" t="s">
        <v>239</v>
      </c>
      <c r="F108" s="5" t="s">
        <v>240</v>
      </c>
    </row>
    <row r="109" spans="1:6" x14ac:dyDescent="0.25">
      <c r="A109" s="5">
        <v>39</v>
      </c>
      <c r="B109" s="5" t="s">
        <v>238</v>
      </c>
      <c r="C109" s="5">
        <v>1614.9</v>
      </c>
      <c r="D109" s="5">
        <v>1614.9</v>
      </c>
      <c r="E109" s="5" t="s">
        <v>239</v>
      </c>
      <c r="F109" s="5" t="s">
        <v>240</v>
      </c>
    </row>
    <row r="110" spans="1:6" x14ac:dyDescent="0.25">
      <c r="A110" s="5">
        <v>40</v>
      </c>
      <c r="B110" s="5" t="s">
        <v>238</v>
      </c>
      <c r="C110" s="5">
        <v>1614.9</v>
      </c>
      <c r="D110" s="5">
        <v>1614.9</v>
      </c>
      <c r="E110" s="5" t="s">
        <v>239</v>
      </c>
      <c r="F110" s="5" t="s">
        <v>240</v>
      </c>
    </row>
    <row r="111" spans="1:6" x14ac:dyDescent="0.25">
      <c r="A111" s="5">
        <v>41</v>
      </c>
      <c r="B111" s="5" t="s">
        <v>238</v>
      </c>
      <c r="C111" s="5">
        <v>1614.9</v>
      </c>
      <c r="D111" s="5">
        <v>1614.9</v>
      </c>
      <c r="E111" s="5" t="s">
        <v>239</v>
      </c>
      <c r="F111" s="5" t="s">
        <v>240</v>
      </c>
    </row>
    <row r="112" spans="1:6" x14ac:dyDescent="0.25">
      <c r="A112" s="5">
        <v>42</v>
      </c>
      <c r="B112" s="5" t="s">
        <v>238</v>
      </c>
      <c r="C112" s="5">
        <v>1614.9</v>
      </c>
      <c r="D112" s="5">
        <v>1614.9</v>
      </c>
      <c r="E112" s="5" t="s">
        <v>239</v>
      </c>
      <c r="F112" s="5" t="s">
        <v>240</v>
      </c>
    </row>
    <row r="113" spans="1:6" x14ac:dyDescent="0.25">
      <c r="A113" s="5">
        <v>43</v>
      </c>
      <c r="B113" s="5" t="s">
        <v>238</v>
      </c>
      <c r="C113" s="5">
        <v>1614.9</v>
      </c>
      <c r="D113" s="5">
        <v>1614.9</v>
      </c>
      <c r="E113" s="5" t="s">
        <v>239</v>
      </c>
      <c r="F113" s="5" t="s">
        <v>240</v>
      </c>
    </row>
    <row r="114" spans="1:6" x14ac:dyDescent="0.25">
      <c r="A114" s="5">
        <v>44</v>
      </c>
      <c r="B114" s="5" t="s">
        <v>238</v>
      </c>
      <c r="C114" s="5">
        <v>0</v>
      </c>
      <c r="D114" s="5">
        <v>0</v>
      </c>
      <c r="E114" s="5" t="s">
        <v>239</v>
      </c>
      <c r="F114" s="5" t="s">
        <v>240</v>
      </c>
    </row>
    <row r="115" spans="1:6" x14ac:dyDescent="0.25">
      <c r="A115" s="5">
        <v>45</v>
      </c>
      <c r="B115" s="5" t="s">
        <v>238</v>
      </c>
      <c r="C115" s="5">
        <v>1614.9</v>
      </c>
      <c r="D115" s="5">
        <v>1614.9</v>
      </c>
      <c r="E115" s="5" t="s">
        <v>239</v>
      </c>
      <c r="F115" s="5" t="s">
        <v>240</v>
      </c>
    </row>
    <row r="116" spans="1:6" x14ac:dyDescent="0.25">
      <c r="A116" s="5">
        <v>46</v>
      </c>
      <c r="B116" s="5" t="s">
        <v>238</v>
      </c>
      <c r="C116" s="5">
        <v>1614.9</v>
      </c>
      <c r="D116" s="5">
        <v>1614.9</v>
      </c>
      <c r="E116" s="5" t="s">
        <v>239</v>
      </c>
      <c r="F116" s="5" t="s">
        <v>240</v>
      </c>
    </row>
    <row r="117" spans="1:6" x14ac:dyDescent="0.25">
      <c r="A117" s="5">
        <v>47</v>
      </c>
      <c r="B117" s="5" t="s">
        <v>238</v>
      </c>
      <c r="C117" s="5">
        <v>1614.9</v>
      </c>
      <c r="D117" s="5">
        <v>1614.9</v>
      </c>
      <c r="E117" s="5" t="s">
        <v>239</v>
      </c>
      <c r="F117" s="5" t="s">
        <v>240</v>
      </c>
    </row>
    <row r="118" spans="1:6" x14ac:dyDescent="0.25">
      <c r="A118" s="5">
        <v>48</v>
      </c>
      <c r="B118" s="5" t="s">
        <v>238</v>
      </c>
      <c r="C118" s="5">
        <v>1614.9</v>
      </c>
      <c r="D118" s="5">
        <v>1614.9</v>
      </c>
      <c r="E118" s="5" t="s">
        <v>239</v>
      </c>
      <c r="F118" s="5" t="s">
        <v>240</v>
      </c>
    </row>
    <row r="119" spans="1:6" x14ac:dyDescent="0.25">
      <c r="A119" s="5">
        <v>49</v>
      </c>
      <c r="B119" s="5" t="s">
        <v>238</v>
      </c>
      <c r="C119" s="5">
        <v>0</v>
      </c>
      <c r="D119" s="5">
        <v>0</v>
      </c>
      <c r="E119" s="5" t="s">
        <v>239</v>
      </c>
      <c r="F119" s="5" t="s">
        <v>240</v>
      </c>
    </row>
    <row r="120" spans="1:6" x14ac:dyDescent="0.25">
      <c r="A120" s="5">
        <v>50</v>
      </c>
      <c r="B120" s="5" t="s">
        <v>238</v>
      </c>
      <c r="C120" s="5">
        <v>1614.9</v>
      </c>
      <c r="D120" s="5">
        <v>1614.9</v>
      </c>
      <c r="E120" s="5" t="s">
        <v>239</v>
      </c>
      <c r="F120" s="5" t="s">
        <v>240</v>
      </c>
    </row>
    <row r="121" spans="1:6" x14ac:dyDescent="0.25">
      <c r="A121" s="5">
        <v>51</v>
      </c>
      <c r="B121" s="5" t="s">
        <v>238</v>
      </c>
      <c r="C121" s="5">
        <v>1614.9</v>
      </c>
      <c r="D121" s="5">
        <v>1614.9</v>
      </c>
      <c r="E121" s="5" t="s">
        <v>239</v>
      </c>
      <c r="F121" s="5" t="s">
        <v>240</v>
      </c>
    </row>
    <row r="122" spans="1:6" x14ac:dyDescent="0.25">
      <c r="A122" s="5">
        <v>52</v>
      </c>
      <c r="B122" s="5" t="s">
        <v>238</v>
      </c>
      <c r="C122" s="5">
        <v>1614.9</v>
      </c>
      <c r="D122" s="5">
        <v>1614.9</v>
      </c>
      <c r="E122" s="5" t="s">
        <v>239</v>
      </c>
      <c r="F122" s="5" t="s">
        <v>240</v>
      </c>
    </row>
    <row r="123" spans="1:6" x14ac:dyDescent="0.25">
      <c r="A123" s="5">
        <v>53</v>
      </c>
      <c r="B123" s="5" t="s">
        <v>238</v>
      </c>
      <c r="C123" s="5">
        <v>1614.9</v>
      </c>
      <c r="D123" s="5">
        <v>1614.9</v>
      </c>
      <c r="E123" s="5" t="s">
        <v>239</v>
      </c>
      <c r="F123" s="5" t="s">
        <v>240</v>
      </c>
    </row>
    <row r="124" spans="1:6" x14ac:dyDescent="0.25">
      <c r="A124" s="5">
        <v>54</v>
      </c>
      <c r="B124" s="5" t="s">
        <v>238</v>
      </c>
      <c r="C124" s="5">
        <v>0</v>
      </c>
      <c r="D124" s="5">
        <v>0</v>
      </c>
      <c r="E124" s="5" t="s">
        <v>239</v>
      </c>
      <c r="F124" s="5" t="s">
        <v>240</v>
      </c>
    </row>
    <row r="125" spans="1:6" x14ac:dyDescent="0.25">
      <c r="A125" s="5">
        <v>55</v>
      </c>
      <c r="B125" s="5" t="s">
        <v>238</v>
      </c>
      <c r="C125" s="5">
        <v>1614.9</v>
      </c>
      <c r="D125" s="5">
        <v>1614.9</v>
      </c>
      <c r="E125" s="5" t="s">
        <v>239</v>
      </c>
      <c r="F125" s="5" t="s">
        <v>240</v>
      </c>
    </row>
    <row r="126" spans="1:6" x14ac:dyDescent="0.25">
      <c r="A126" s="5">
        <v>56</v>
      </c>
      <c r="B126" s="5" t="s">
        <v>238</v>
      </c>
      <c r="C126" s="5">
        <v>1614.9</v>
      </c>
      <c r="D126" s="5">
        <v>1614.9</v>
      </c>
      <c r="E126" s="5" t="s">
        <v>239</v>
      </c>
      <c r="F126" s="5" t="s">
        <v>240</v>
      </c>
    </row>
    <row r="127" spans="1:6" x14ac:dyDescent="0.25">
      <c r="A127" s="5">
        <v>57</v>
      </c>
      <c r="B127" s="5" t="s">
        <v>238</v>
      </c>
      <c r="C127" s="5">
        <v>0</v>
      </c>
      <c r="D127" s="5">
        <v>0</v>
      </c>
      <c r="E127" s="5" t="s">
        <v>239</v>
      </c>
      <c r="F127" s="5" t="s">
        <v>240</v>
      </c>
    </row>
    <row r="128" spans="1:6" x14ac:dyDescent="0.25">
      <c r="A128">
        <v>58</v>
      </c>
      <c r="B128" s="13" t="s">
        <v>238</v>
      </c>
      <c r="C128" s="13">
        <v>0</v>
      </c>
      <c r="D128" s="13">
        <v>0</v>
      </c>
      <c r="E128" s="13" t="s">
        <v>239</v>
      </c>
      <c r="F128" s="13" t="s">
        <v>240</v>
      </c>
    </row>
    <row r="129" spans="1:6" x14ac:dyDescent="0.25">
      <c r="A129">
        <v>59</v>
      </c>
      <c r="B129" s="13" t="s">
        <v>238</v>
      </c>
      <c r="C129" s="13">
        <v>0</v>
      </c>
      <c r="D129" s="13">
        <v>0</v>
      </c>
      <c r="E129" s="13" t="s">
        <v>239</v>
      </c>
      <c r="F129" s="13" t="s">
        <v>240</v>
      </c>
    </row>
    <row r="130" spans="1:6" x14ac:dyDescent="0.25">
      <c r="A130">
        <v>60</v>
      </c>
      <c r="B130" s="13" t="s">
        <v>238</v>
      </c>
      <c r="C130" s="13">
        <v>0</v>
      </c>
      <c r="D130" s="13">
        <v>0</v>
      </c>
      <c r="E130" s="13" t="s">
        <v>239</v>
      </c>
      <c r="F130" s="13" t="s">
        <v>240</v>
      </c>
    </row>
    <row r="132" spans="1:6" x14ac:dyDescent="0.25">
      <c r="C132">
        <f>SUM(C4:C130)</f>
        <v>75900.3</v>
      </c>
      <c r="D132" s="15">
        <f>SUM(D4:D130)</f>
        <v>75900.3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C242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  <row r="9" spans="1:3" x14ac:dyDescent="0.25">
      <c r="A9">
        <v>6</v>
      </c>
      <c r="B9" t="s">
        <v>221</v>
      </c>
      <c r="C9" t="s">
        <v>221</v>
      </c>
    </row>
    <row r="10" spans="1:3" x14ac:dyDescent="0.25">
      <c r="A10">
        <v>7</v>
      </c>
      <c r="B10" t="s">
        <v>221</v>
      </c>
      <c r="C10" t="s">
        <v>221</v>
      </c>
    </row>
    <row r="11" spans="1:3" x14ac:dyDescent="0.25">
      <c r="A11">
        <v>8</v>
      </c>
      <c r="B11" t="s">
        <v>221</v>
      </c>
      <c r="C11" t="s">
        <v>221</v>
      </c>
    </row>
    <row r="12" spans="1:3" x14ac:dyDescent="0.25">
      <c r="A12">
        <v>9</v>
      </c>
      <c r="B12" t="s">
        <v>221</v>
      </c>
      <c r="C12" t="s">
        <v>221</v>
      </c>
    </row>
    <row r="13" spans="1:3" x14ac:dyDescent="0.25">
      <c r="A13">
        <v>10</v>
      </c>
      <c r="B13" t="s">
        <v>221</v>
      </c>
      <c r="C13" t="s">
        <v>221</v>
      </c>
    </row>
    <row r="14" spans="1:3" x14ac:dyDescent="0.25">
      <c r="A14">
        <v>11</v>
      </c>
      <c r="B14" t="s">
        <v>221</v>
      </c>
      <c r="C14" t="s">
        <v>221</v>
      </c>
    </row>
    <row r="15" spans="1:3" x14ac:dyDescent="0.25">
      <c r="A15">
        <v>12</v>
      </c>
      <c r="B15" t="s">
        <v>221</v>
      </c>
      <c r="C15" t="s">
        <v>221</v>
      </c>
    </row>
    <row r="16" spans="1:3" x14ac:dyDescent="0.25">
      <c r="A16">
        <v>13</v>
      </c>
      <c r="B16" t="s">
        <v>221</v>
      </c>
      <c r="C16" t="s">
        <v>221</v>
      </c>
    </row>
    <row r="17" spans="1:3" x14ac:dyDescent="0.25">
      <c r="A17">
        <v>14</v>
      </c>
      <c r="B17" t="s">
        <v>221</v>
      </c>
      <c r="C17" t="s">
        <v>221</v>
      </c>
    </row>
    <row r="18" spans="1:3" x14ac:dyDescent="0.25">
      <c r="A18">
        <v>15</v>
      </c>
      <c r="B18" t="s">
        <v>221</v>
      </c>
      <c r="C18" t="s">
        <v>221</v>
      </c>
    </row>
    <row r="19" spans="1:3" x14ac:dyDescent="0.25">
      <c r="A19">
        <v>16</v>
      </c>
      <c r="B19" t="s">
        <v>221</v>
      </c>
      <c r="C19" t="s">
        <v>221</v>
      </c>
    </row>
    <row r="20" spans="1:3" x14ac:dyDescent="0.25">
      <c r="A20">
        <v>17</v>
      </c>
      <c r="B20" t="s">
        <v>221</v>
      </c>
      <c r="C20" t="s">
        <v>221</v>
      </c>
    </row>
    <row r="21" spans="1:3" x14ac:dyDescent="0.25">
      <c r="A21">
        <v>18</v>
      </c>
      <c r="B21" t="s">
        <v>221</v>
      </c>
      <c r="C21" t="s">
        <v>221</v>
      </c>
    </row>
    <row r="22" spans="1:3" x14ac:dyDescent="0.25">
      <c r="A22">
        <v>19</v>
      </c>
      <c r="B22" t="s">
        <v>221</v>
      </c>
      <c r="C22" t="s">
        <v>221</v>
      </c>
    </row>
    <row r="23" spans="1:3" x14ac:dyDescent="0.25">
      <c r="A23">
        <v>20</v>
      </c>
      <c r="B23" t="s">
        <v>221</v>
      </c>
      <c r="C23" t="s">
        <v>221</v>
      </c>
    </row>
    <row r="24" spans="1:3" x14ac:dyDescent="0.25">
      <c r="A24">
        <v>21</v>
      </c>
      <c r="B24" t="s">
        <v>221</v>
      </c>
      <c r="C24" t="s">
        <v>221</v>
      </c>
    </row>
    <row r="25" spans="1:3" x14ac:dyDescent="0.25">
      <c r="A25">
        <v>22</v>
      </c>
      <c r="B25" t="s">
        <v>221</v>
      </c>
      <c r="C25" t="s">
        <v>221</v>
      </c>
    </row>
    <row r="26" spans="1:3" x14ac:dyDescent="0.25">
      <c r="A26">
        <v>23</v>
      </c>
      <c r="B26" t="s">
        <v>221</v>
      </c>
      <c r="C26" t="s">
        <v>221</v>
      </c>
    </row>
    <row r="27" spans="1:3" x14ac:dyDescent="0.25">
      <c r="A27">
        <v>24</v>
      </c>
      <c r="B27" t="s">
        <v>221</v>
      </c>
      <c r="C27" t="s">
        <v>221</v>
      </c>
    </row>
    <row r="28" spans="1:3" x14ac:dyDescent="0.25">
      <c r="A28">
        <v>25</v>
      </c>
      <c r="B28" t="s">
        <v>221</v>
      </c>
      <c r="C28" t="s">
        <v>221</v>
      </c>
    </row>
    <row r="29" spans="1:3" x14ac:dyDescent="0.25">
      <c r="A29">
        <v>26</v>
      </c>
      <c r="B29" t="s">
        <v>221</v>
      </c>
      <c r="C29" t="s">
        <v>221</v>
      </c>
    </row>
    <row r="30" spans="1:3" x14ac:dyDescent="0.25">
      <c r="A30">
        <v>27</v>
      </c>
      <c r="B30" t="s">
        <v>221</v>
      </c>
      <c r="C30" t="s">
        <v>221</v>
      </c>
    </row>
    <row r="31" spans="1:3" x14ac:dyDescent="0.25">
      <c r="A31">
        <v>28</v>
      </c>
      <c r="B31" t="s">
        <v>221</v>
      </c>
      <c r="C31" t="s">
        <v>221</v>
      </c>
    </row>
    <row r="32" spans="1:3" x14ac:dyDescent="0.25">
      <c r="A32">
        <v>29</v>
      </c>
      <c r="B32" t="s">
        <v>221</v>
      </c>
      <c r="C32" t="s">
        <v>221</v>
      </c>
    </row>
    <row r="33" spans="1:3" x14ac:dyDescent="0.25">
      <c r="A33">
        <v>30</v>
      </c>
      <c r="B33" t="s">
        <v>221</v>
      </c>
      <c r="C33" t="s">
        <v>221</v>
      </c>
    </row>
    <row r="34" spans="1:3" x14ac:dyDescent="0.25">
      <c r="A34">
        <v>31</v>
      </c>
      <c r="B34" t="s">
        <v>221</v>
      </c>
      <c r="C34" t="s">
        <v>221</v>
      </c>
    </row>
    <row r="35" spans="1:3" x14ac:dyDescent="0.25">
      <c r="A35">
        <v>32</v>
      </c>
      <c r="B35" t="s">
        <v>221</v>
      </c>
      <c r="C35" t="s">
        <v>221</v>
      </c>
    </row>
    <row r="36" spans="1:3" x14ac:dyDescent="0.25">
      <c r="A36">
        <v>33</v>
      </c>
      <c r="B36" t="s">
        <v>221</v>
      </c>
      <c r="C36" t="s">
        <v>221</v>
      </c>
    </row>
    <row r="37" spans="1:3" x14ac:dyDescent="0.25">
      <c r="A37">
        <v>34</v>
      </c>
      <c r="B37" t="s">
        <v>221</v>
      </c>
      <c r="C37" t="s">
        <v>221</v>
      </c>
    </row>
    <row r="38" spans="1:3" x14ac:dyDescent="0.25">
      <c r="A38">
        <v>35</v>
      </c>
      <c r="B38" t="s">
        <v>221</v>
      </c>
      <c r="C38" t="s">
        <v>221</v>
      </c>
    </row>
    <row r="39" spans="1:3" x14ac:dyDescent="0.25">
      <c r="A39">
        <v>36</v>
      </c>
      <c r="B39" t="s">
        <v>221</v>
      </c>
      <c r="C39" t="s">
        <v>221</v>
      </c>
    </row>
    <row r="40" spans="1:3" x14ac:dyDescent="0.25">
      <c r="A40">
        <v>37</v>
      </c>
      <c r="B40" t="s">
        <v>221</v>
      </c>
      <c r="C40" t="s">
        <v>221</v>
      </c>
    </row>
    <row r="41" spans="1:3" x14ac:dyDescent="0.25">
      <c r="A41">
        <v>38</v>
      </c>
      <c r="B41" t="s">
        <v>221</v>
      </c>
      <c r="C41" t="s">
        <v>221</v>
      </c>
    </row>
    <row r="42" spans="1:3" x14ac:dyDescent="0.25">
      <c r="A42">
        <v>39</v>
      </c>
      <c r="B42" t="s">
        <v>221</v>
      </c>
      <c r="C42" t="s">
        <v>221</v>
      </c>
    </row>
    <row r="43" spans="1:3" x14ac:dyDescent="0.25">
      <c r="A43">
        <v>40</v>
      </c>
      <c r="B43" t="s">
        <v>221</v>
      </c>
      <c r="C43" t="s">
        <v>221</v>
      </c>
    </row>
    <row r="44" spans="1:3" x14ac:dyDescent="0.25">
      <c r="A44">
        <v>41</v>
      </c>
      <c r="B44" t="s">
        <v>221</v>
      </c>
      <c r="C44" t="s">
        <v>221</v>
      </c>
    </row>
    <row r="45" spans="1:3" x14ac:dyDescent="0.25">
      <c r="A45">
        <v>42</v>
      </c>
      <c r="B45" t="s">
        <v>221</v>
      </c>
      <c r="C45" t="s">
        <v>221</v>
      </c>
    </row>
    <row r="46" spans="1:3" x14ac:dyDescent="0.25">
      <c r="A46">
        <v>43</v>
      </c>
      <c r="B46" t="s">
        <v>221</v>
      </c>
      <c r="C46" t="s">
        <v>221</v>
      </c>
    </row>
    <row r="47" spans="1:3" x14ac:dyDescent="0.25">
      <c r="A47">
        <v>44</v>
      </c>
      <c r="B47" t="s">
        <v>221</v>
      </c>
      <c r="C47" t="s">
        <v>221</v>
      </c>
    </row>
    <row r="48" spans="1:3" x14ac:dyDescent="0.25">
      <c r="A48">
        <v>45</v>
      </c>
      <c r="B48" t="s">
        <v>221</v>
      </c>
      <c r="C48" t="s">
        <v>221</v>
      </c>
    </row>
    <row r="49" spans="1:3" x14ac:dyDescent="0.25">
      <c r="A49">
        <v>46</v>
      </c>
      <c r="B49" t="s">
        <v>221</v>
      </c>
      <c r="C49" t="s">
        <v>221</v>
      </c>
    </row>
    <row r="50" spans="1:3" x14ac:dyDescent="0.25">
      <c r="A50">
        <v>47</v>
      </c>
      <c r="B50" t="s">
        <v>221</v>
      </c>
      <c r="C50" t="s">
        <v>221</v>
      </c>
    </row>
    <row r="51" spans="1:3" x14ac:dyDescent="0.25">
      <c r="A51">
        <v>48</v>
      </c>
      <c r="B51" t="s">
        <v>221</v>
      </c>
      <c r="C51" t="s">
        <v>221</v>
      </c>
    </row>
    <row r="52" spans="1:3" x14ac:dyDescent="0.25">
      <c r="A52">
        <v>49</v>
      </c>
      <c r="B52" t="s">
        <v>221</v>
      </c>
      <c r="C52" t="s">
        <v>221</v>
      </c>
    </row>
    <row r="53" spans="1:3" x14ac:dyDescent="0.25">
      <c r="A53">
        <v>50</v>
      </c>
      <c r="B53" t="s">
        <v>221</v>
      </c>
      <c r="C53" t="s">
        <v>221</v>
      </c>
    </row>
    <row r="54" spans="1:3" x14ac:dyDescent="0.25">
      <c r="A54">
        <v>51</v>
      </c>
      <c r="B54" t="s">
        <v>221</v>
      </c>
      <c r="C54" t="s">
        <v>221</v>
      </c>
    </row>
    <row r="55" spans="1:3" x14ac:dyDescent="0.25">
      <c r="A55">
        <v>52</v>
      </c>
      <c r="B55" t="s">
        <v>221</v>
      </c>
      <c r="C55" t="s">
        <v>221</v>
      </c>
    </row>
    <row r="56" spans="1:3" x14ac:dyDescent="0.25">
      <c r="A56">
        <v>53</v>
      </c>
      <c r="B56" t="s">
        <v>221</v>
      </c>
      <c r="C56" t="s">
        <v>221</v>
      </c>
    </row>
    <row r="57" spans="1:3" x14ac:dyDescent="0.25">
      <c r="A57">
        <v>54</v>
      </c>
      <c r="B57" t="s">
        <v>221</v>
      </c>
      <c r="C57" t="s">
        <v>221</v>
      </c>
    </row>
    <row r="58" spans="1:3" x14ac:dyDescent="0.25">
      <c r="A58">
        <v>55</v>
      </c>
      <c r="B58" t="s">
        <v>221</v>
      </c>
      <c r="C58" t="s">
        <v>221</v>
      </c>
    </row>
    <row r="59" spans="1:3" x14ac:dyDescent="0.25">
      <c r="A59">
        <v>56</v>
      </c>
      <c r="B59" t="s">
        <v>221</v>
      </c>
      <c r="C59" t="s">
        <v>221</v>
      </c>
    </row>
    <row r="60" spans="1:3" x14ac:dyDescent="0.25">
      <c r="A60">
        <v>57</v>
      </c>
      <c r="B60" t="s">
        <v>221</v>
      </c>
      <c r="C60" t="s">
        <v>221</v>
      </c>
    </row>
    <row r="61" spans="1:3" x14ac:dyDescent="0.25">
      <c r="A61">
        <v>58</v>
      </c>
      <c r="B61" t="s">
        <v>221</v>
      </c>
      <c r="C61" t="s">
        <v>221</v>
      </c>
    </row>
    <row r="62" spans="1:3" x14ac:dyDescent="0.25">
      <c r="A62">
        <v>59</v>
      </c>
      <c r="B62" t="s">
        <v>221</v>
      </c>
      <c r="C62" t="s">
        <v>221</v>
      </c>
    </row>
    <row r="63" spans="1:3" s="15" customFormat="1" x14ac:dyDescent="0.25">
      <c r="A63" s="15">
        <v>60</v>
      </c>
      <c r="B63" s="15" t="s">
        <v>221</v>
      </c>
      <c r="C63" s="15" t="s">
        <v>221</v>
      </c>
    </row>
    <row r="64" spans="1:3" s="15" customFormat="1" x14ac:dyDescent="0.25">
      <c r="A64" s="15">
        <v>61</v>
      </c>
      <c r="B64" s="15" t="s">
        <v>221</v>
      </c>
      <c r="C64" s="15" t="s">
        <v>221</v>
      </c>
    </row>
    <row r="65" spans="1:3" s="15" customFormat="1" x14ac:dyDescent="0.25">
      <c r="A65" s="15">
        <v>62</v>
      </c>
      <c r="B65" s="15" t="s">
        <v>221</v>
      </c>
      <c r="C65" s="15" t="s">
        <v>221</v>
      </c>
    </row>
    <row r="66" spans="1:3" s="15" customFormat="1" x14ac:dyDescent="0.25">
      <c r="A66" s="15">
        <v>63</v>
      </c>
      <c r="B66" s="15" t="s">
        <v>221</v>
      </c>
      <c r="C66" s="15" t="s">
        <v>221</v>
      </c>
    </row>
    <row r="67" spans="1:3" s="15" customFormat="1" x14ac:dyDescent="0.25">
      <c r="A67" s="15">
        <v>64</v>
      </c>
      <c r="B67" s="15" t="s">
        <v>221</v>
      </c>
      <c r="C67" s="15" t="s">
        <v>221</v>
      </c>
    </row>
    <row r="68" spans="1:3" s="15" customFormat="1" x14ac:dyDescent="0.25">
      <c r="A68" s="15">
        <v>65</v>
      </c>
      <c r="B68" s="15" t="s">
        <v>221</v>
      </c>
      <c r="C68" s="15" t="s">
        <v>221</v>
      </c>
    </row>
    <row r="69" spans="1:3" s="15" customFormat="1" x14ac:dyDescent="0.25">
      <c r="A69" s="15">
        <v>66</v>
      </c>
      <c r="B69" s="15" t="s">
        <v>221</v>
      </c>
      <c r="C69" s="15" t="s">
        <v>221</v>
      </c>
    </row>
    <row r="70" spans="1:3" s="15" customFormat="1" x14ac:dyDescent="0.25">
      <c r="A70" s="15">
        <v>67</v>
      </c>
      <c r="B70" s="15" t="s">
        <v>221</v>
      </c>
      <c r="C70" s="15" t="s">
        <v>221</v>
      </c>
    </row>
    <row r="71" spans="1:3" x14ac:dyDescent="0.25">
      <c r="A71" s="4">
        <v>1</v>
      </c>
      <c r="B71" s="4" t="s">
        <v>221</v>
      </c>
      <c r="C71" s="4" t="s">
        <v>221</v>
      </c>
    </row>
    <row r="72" spans="1:3" x14ac:dyDescent="0.25">
      <c r="A72" s="4">
        <v>2</v>
      </c>
      <c r="B72" s="4" t="s">
        <v>221</v>
      </c>
      <c r="C72" s="4" t="s">
        <v>221</v>
      </c>
    </row>
    <row r="73" spans="1:3" x14ac:dyDescent="0.25">
      <c r="A73" s="4">
        <v>3</v>
      </c>
      <c r="B73" s="4" t="s">
        <v>221</v>
      </c>
      <c r="C73" s="4" t="s">
        <v>221</v>
      </c>
    </row>
    <row r="74" spans="1:3" x14ac:dyDescent="0.25">
      <c r="A74" s="4">
        <v>4</v>
      </c>
      <c r="B74" s="4" t="s">
        <v>221</v>
      </c>
      <c r="C74" s="4" t="s">
        <v>221</v>
      </c>
    </row>
    <row r="75" spans="1:3" x14ac:dyDescent="0.25">
      <c r="A75" s="4">
        <v>5</v>
      </c>
      <c r="B75" s="4" t="s">
        <v>221</v>
      </c>
      <c r="C75" s="4" t="s">
        <v>221</v>
      </c>
    </row>
    <row r="76" spans="1:3" x14ac:dyDescent="0.25">
      <c r="A76" s="4">
        <v>6</v>
      </c>
      <c r="B76" s="4" t="s">
        <v>221</v>
      </c>
      <c r="C76" s="4" t="s">
        <v>221</v>
      </c>
    </row>
    <row r="77" spans="1:3" x14ac:dyDescent="0.25">
      <c r="A77" s="4">
        <v>7</v>
      </c>
      <c r="B77" s="4" t="s">
        <v>221</v>
      </c>
      <c r="C77" s="4" t="s">
        <v>221</v>
      </c>
    </row>
    <row r="78" spans="1:3" x14ac:dyDescent="0.25">
      <c r="A78" s="4">
        <v>8</v>
      </c>
      <c r="B78" s="4" t="s">
        <v>221</v>
      </c>
      <c r="C78" s="4" t="s">
        <v>221</v>
      </c>
    </row>
    <row r="79" spans="1:3" x14ac:dyDescent="0.25">
      <c r="A79" s="4">
        <v>9</v>
      </c>
      <c r="B79" s="4" t="s">
        <v>221</v>
      </c>
      <c r="C79" s="4" t="s">
        <v>221</v>
      </c>
    </row>
    <row r="80" spans="1:3" x14ac:dyDescent="0.25">
      <c r="A80" s="4">
        <v>10</v>
      </c>
      <c r="B80" s="4" t="s">
        <v>221</v>
      </c>
      <c r="C80" s="4" t="s">
        <v>221</v>
      </c>
    </row>
    <row r="81" spans="1:3" x14ac:dyDescent="0.25">
      <c r="A81" s="4">
        <v>11</v>
      </c>
      <c r="B81" s="4" t="s">
        <v>221</v>
      </c>
      <c r="C81" s="4" t="s">
        <v>221</v>
      </c>
    </row>
    <row r="82" spans="1:3" x14ac:dyDescent="0.25">
      <c r="A82" s="4">
        <v>12</v>
      </c>
      <c r="B82" s="4" t="s">
        <v>221</v>
      </c>
      <c r="C82" s="4" t="s">
        <v>221</v>
      </c>
    </row>
    <row r="83" spans="1:3" x14ac:dyDescent="0.25">
      <c r="A83" s="4">
        <v>13</v>
      </c>
      <c r="B83" s="4" t="s">
        <v>221</v>
      </c>
      <c r="C83" s="4" t="s">
        <v>221</v>
      </c>
    </row>
    <row r="84" spans="1:3" x14ac:dyDescent="0.25">
      <c r="A84" s="4">
        <v>14</v>
      </c>
      <c r="B84" s="4" t="s">
        <v>221</v>
      </c>
      <c r="C84" s="4" t="s">
        <v>221</v>
      </c>
    </row>
    <row r="85" spans="1:3" x14ac:dyDescent="0.25">
      <c r="A85" s="4">
        <v>15</v>
      </c>
      <c r="B85" s="4" t="s">
        <v>221</v>
      </c>
      <c r="C85" s="4" t="s">
        <v>221</v>
      </c>
    </row>
    <row r="86" spans="1:3" x14ac:dyDescent="0.25">
      <c r="A86" s="4">
        <v>16</v>
      </c>
      <c r="B86" s="4" t="s">
        <v>221</v>
      </c>
      <c r="C86" s="4" t="s">
        <v>221</v>
      </c>
    </row>
    <row r="87" spans="1:3" x14ac:dyDescent="0.25">
      <c r="A87" s="4">
        <v>17</v>
      </c>
      <c r="B87" s="4" t="s">
        <v>221</v>
      </c>
      <c r="C87" s="4" t="s">
        <v>221</v>
      </c>
    </row>
    <row r="88" spans="1:3" x14ac:dyDescent="0.25">
      <c r="A88" s="4">
        <v>18</v>
      </c>
      <c r="B88" s="4" t="s">
        <v>221</v>
      </c>
      <c r="C88" s="4" t="s">
        <v>221</v>
      </c>
    </row>
    <row r="89" spans="1:3" x14ac:dyDescent="0.25">
      <c r="A89" s="4">
        <v>19</v>
      </c>
      <c r="B89" s="4" t="s">
        <v>221</v>
      </c>
      <c r="C89" s="4" t="s">
        <v>221</v>
      </c>
    </row>
    <row r="90" spans="1:3" x14ac:dyDescent="0.25">
      <c r="A90" s="4">
        <v>20</v>
      </c>
      <c r="B90" s="4" t="s">
        <v>221</v>
      </c>
      <c r="C90" s="4" t="s">
        <v>221</v>
      </c>
    </row>
    <row r="91" spans="1:3" x14ac:dyDescent="0.25">
      <c r="A91" s="4">
        <v>21</v>
      </c>
      <c r="B91" s="4" t="s">
        <v>221</v>
      </c>
      <c r="C91" s="4" t="s">
        <v>221</v>
      </c>
    </row>
    <row r="92" spans="1:3" x14ac:dyDescent="0.25">
      <c r="A92" s="4">
        <v>22</v>
      </c>
      <c r="B92" s="4" t="s">
        <v>221</v>
      </c>
      <c r="C92" s="4" t="s">
        <v>221</v>
      </c>
    </row>
    <row r="93" spans="1:3" x14ac:dyDescent="0.25">
      <c r="A93" s="4">
        <v>23</v>
      </c>
      <c r="B93" s="4" t="s">
        <v>221</v>
      </c>
      <c r="C93" s="4" t="s">
        <v>221</v>
      </c>
    </row>
    <row r="94" spans="1:3" x14ac:dyDescent="0.25">
      <c r="A94" s="4">
        <v>24</v>
      </c>
      <c r="B94" s="4" t="s">
        <v>221</v>
      </c>
      <c r="C94" s="4" t="s">
        <v>221</v>
      </c>
    </row>
    <row r="95" spans="1:3" x14ac:dyDescent="0.25">
      <c r="A95" s="4">
        <v>25</v>
      </c>
      <c r="B95" s="4" t="s">
        <v>221</v>
      </c>
      <c r="C95" s="4" t="s">
        <v>221</v>
      </c>
    </row>
    <row r="96" spans="1:3" x14ac:dyDescent="0.25">
      <c r="A96" s="4">
        <v>26</v>
      </c>
      <c r="B96" s="4" t="s">
        <v>221</v>
      </c>
      <c r="C96" s="4" t="s">
        <v>221</v>
      </c>
    </row>
    <row r="97" spans="1:3" x14ac:dyDescent="0.25">
      <c r="A97" s="4">
        <v>27</v>
      </c>
      <c r="B97" s="4" t="s">
        <v>221</v>
      </c>
      <c r="C97" s="4" t="s">
        <v>221</v>
      </c>
    </row>
    <row r="98" spans="1:3" x14ac:dyDescent="0.25">
      <c r="A98" s="4">
        <v>28</v>
      </c>
      <c r="B98" s="4" t="s">
        <v>221</v>
      </c>
      <c r="C98" s="4" t="s">
        <v>221</v>
      </c>
    </row>
    <row r="99" spans="1:3" x14ac:dyDescent="0.25">
      <c r="A99" s="4">
        <v>29</v>
      </c>
      <c r="B99" s="4" t="s">
        <v>221</v>
      </c>
      <c r="C99" s="4" t="s">
        <v>221</v>
      </c>
    </row>
    <row r="100" spans="1:3" x14ac:dyDescent="0.25">
      <c r="A100" s="4">
        <v>30</v>
      </c>
      <c r="B100" s="4" t="s">
        <v>221</v>
      </c>
      <c r="C100" s="4" t="s">
        <v>221</v>
      </c>
    </row>
    <row r="101" spans="1:3" x14ac:dyDescent="0.25">
      <c r="A101" s="4">
        <v>31</v>
      </c>
      <c r="B101" s="4" t="s">
        <v>221</v>
      </c>
      <c r="C101" s="4" t="s">
        <v>221</v>
      </c>
    </row>
    <row r="102" spans="1:3" x14ac:dyDescent="0.25">
      <c r="A102" s="4">
        <v>32</v>
      </c>
      <c r="B102" s="4" t="s">
        <v>221</v>
      </c>
      <c r="C102" s="4" t="s">
        <v>221</v>
      </c>
    </row>
    <row r="103" spans="1:3" x14ac:dyDescent="0.25">
      <c r="A103" s="4">
        <v>33</v>
      </c>
      <c r="B103" s="4" t="s">
        <v>221</v>
      </c>
      <c r="C103" s="4" t="s">
        <v>221</v>
      </c>
    </row>
    <row r="104" spans="1:3" x14ac:dyDescent="0.25">
      <c r="A104" s="4">
        <v>34</v>
      </c>
      <c r="B104" s="4" t="s">
        <v>221</v>
      </c>
      <c r="C104" s="4" t="s">
        <v>221</v>
      </c>
    </row>
    <row r="105" spans="1:3" x14ac:dyDescent="0.25">
      <c r="A105" s="4">
        <v>35</v>
      </c>
      <c r="B105" s="4" t="s">
        <v>221</v>
      </c>
      <c r="C105" s="4" t="s">
        <v>221</v>
      </c>
    </row>
    <row r="106" spans="1:3" x14ac:dyDescent="0.25">
      <c r="A106" s="4">
        <v>36</v>
      </c>
      <c r="B106" s="4" t="s">
        <v>221</v>
      </c>
      <c r="C106" s="4" t="s">
        <v>221</v>
      </c>
    </row>
    <row r="107" spans="1:3" x14ac:dyDescent="0.25">
      <c r="A107" s="4">
        <v>37</v>
      </c>
      <c r="B107" s="4" t="s">
        <v>221</v>
      </c>
      <c r="C107" s="4" t="s">
        <v>221</v>
      </c>
    </row>
    <row r="108" spans="1:3" x14ac:dyDescent="0.25">
      <c r="A108" s="4">
        <v>38</v>
      </c>
      <c r="B108" s="4" t="s">
        <v>221</v>
      </c>
      <c r="C108" s="4" t="s">
        <v>221</v>
      </c>
    </row>
    <row r="109" spans="1:3" x14ac:dyDescent="0.25">
      <c r="A109" s="4">
        <v>39</v>
      </c>
      <c r="B109" s="4" t="s">
        <v>221</v>
      </c>
      <c r="C109" s="4" t="s">
        <v>221</v>
      </c>
    </row>
    <row r="110" spans="1:3" x14ac:dyDescent="0.25">
      <c r="A110" s="4">
        <v>40</v>
      </c>
      <c r="B110" s="4" t="s">
        <v>221</v>
      </c>
      <c r="C110" s="4" t="s">
        <v>221</v>
      </c>
    </row>
    <row r="111" spans="1:3" x14ac:dyDescent="0.25">
      <c r="A111" s="4">
        <v>41</v>
      </c>
      <c r="B111" s="4" t="s">
        <v>221</v>
      </c>
      <c r="C111" s="4" t="s">
        <v>221</v>
      </c>
    </row>
    <row r="112" spans="1:3" x14ac:dyDescent="0.25">
      <c r="A112" s="4">
        <v>42</v>
      </c>
      <c r="B112" s="4" t="s">
        <v>221</v>
      </c>
      <c r="C112" s="4" t="s">
        <v>221</v>
      </c>
    </row>
    <row r="113" spans="1:3" x14ac:dyDescent="0.25">
      <c r="A113" s="4">
        <v>43</v>
      </c>
      <c r="B113" s="4" t="s">
        <v>221</v>
      </c>
      <c r="C113" s="4" t="s">
        <v>221</v>
      </c>
    </row>
    <row r="114" spans="1:3" x14ac:dyDescent="0.25">
      <c r="A114" s="4">
        <v>44</v>
      </c>
      <c r="B114" s="4" t="s">
        <v>221</v>
      </c>
      <c r="C114" s="4" t="s">
        <v>221</v>
      </c>
    </row>
    <row r="115" spans="1:3" x14ac:dyDescent="0.25">
      <c r="A115" s="4">
        <v>45</v>
      </c>
      <c r="B115" s="4" t="s">
        <v>221</v>
      </c>
      <c r="C115" s="4" t="s">
        <v>221</v>
      </c>
    </row>
    <row r="116" spans="1:3" x14ac:dyDescent="0.25">
      <c r="A116" s="4">
        <v>46</v>
      </c>
      <c r="B116" s="4" t="s">
        <v>221</v>
      </c>
      <c r="C116" s="4" t="s">
        <v>221</v>
      </c>
    </row>
    <row r="117" spans="1:3" x14ac:dyDescent="0.25">
      <c r="A117" s="4">
        <v>47</v>
      </c>
      <c r="B117" s="4" t="s">
        <v>221</v>
      </c>
      <c r="C117" s="4" t="s">
        <v>221</v>
      </c>
    </row>
    <row r="118" spans="1:3" x14ac:dyDescent="0.25">
      <c r="A118" s="4">
        <v>48</v>
      </c>
      <c r="B118" s="4" t="s">
        <v>221</v>
      </c>
      <c r="C118" s="4" t="s">
        <v>221</v>
      </c>
    </row>
    <row r="119" spans="1:3" x14ac:dyDescent="0.25">
      <c r="A119" s="4">
        <v>49</v>
      </c>
      <c r="B119" s="4" t="s">
        <v>221</v>
      </c>
      <c r="C119" s="4" t="s">
        <v>221</v>
      </c>
    </row>
    <row r="120" spans="1:3" x14ac:dyDescent="0.25">
      <c r="A120" s="4">
        <v>50</v>
      </c>
      <c r="B120" s="4" t="s">
        <v>221</v>
      </c>
      <c r="C120" s="4" t="s">
        <v>221</v>
      </c>
    </row>
    <row r="121" spans="1:3" x14ac:dyDescent="0.25">
      <c r="A121" s="4">
        <v>51</v>
      </c>
      <c r="B121" s="4" t="s">
        <v>221</v>
      </c>
      <c r="C121" s="4" t="s">
        <v>221</v>
      </c>
    </row>
    <row r="122" spans="1:3" x14ac:dyDescent="0.25">
      <c r="A122" s="4">
        <v>52</v>
      </c>
      <c r="B122" s="4" t="s">
        <v>221</v>
      </c>
      <c r="C122" s="4" t="s">
        <v>221</v>
      </c>
    </row>
    <row r="123" spans="1:3" x14ac:dyDescent="0.25">
      <c r="A123" s="4">
        <v>53</v>
      </c>
      <c r="B123" s="4" t="s">
        <v>221</v>
      </c>
      <c r="C123" s="4" t="s">
        <v>221</v>
      </c>
    </row>
    <row r="124" spans="1:3" x14ac:dyDescent="0.25">
      <c r="A124" s="4">
        <v>54</v>
      </c>
      <c r="B124" s="4" t="s">
        <v>221</v>
      </c>
      <c r="C124" s="4" t="s">
        <v>221</v>
      </c>
    </row>
    <row r="125" spans="1:3" x14ac:dyDescent="0.25">
      <c r="A125" s="4">
        <v>55</v>
      </c>
      <c r="B125" s="4" t="s">
        <v>221</v>
      </c>
      <c r="C125" s="4" t="s">
        <v>221</v>
      </c>
    </row>
    <row r="126" spans="1:3" x14ac:dyDescent="0.25">
      <c r="A126" s="4">
        <v>56</v>
      </c>
      <c r="B126" s="4" t="s">
        <v>221</v>
      </c>
      <c r="C126" s="4" t="s">
        <v>221</v>
      </c>
    </row>
    <row r="127" spans="1:3" x14ac:dyDescent="0.25">
      <c r="A127" s="4">
        <v>57</v>
      </c>
      <c r="B127" s="4" t="s">
        <v>221</v>
      </c>
      <c r="C127" s="4" t="s">
        <v>221</v>
      </c>
    </row>
    <row r="128" spans="1:3" x14ac:dyDescent="0.25">
      <c r="A128" s="4">
        <v>58</v>
      </c>
      <c r="B128" s="4" t="s">
        <v>221</v>
      </c>
      <c r="C128" s="4" t="s">
        <v>221</v>
      </c>
    </row>
    <row r="129" spans="1:3" x14ac:dyDescent="0.25">
      <c r="A129" s="4">
        <v>59</v>
      </c>
      <c r="B129" s="4" t="s">
        <v>221</v>
      </c>
      <c r="C129" s="4" t="s">
        <v>221</v>
      </c>
    </row>
    <row r="130" spans="1:3" x14ac:dyDescent="0.25">
      <c r="A130" s="4">
        <v>60</v>
      </c>
      <c r="B130" s="4" t="s">
        <v>221</v>
      </c>
      <c r="C130" s="4" t="s">
        <v>221</v>
      </c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  <row r="181" spans="1:3" x14ac:dyDescent="0.25">
      <c r="A181" s="5"/>
      <c r="B181" s="5"/>
      <c r="C181" s="5"/>
    </row>
    <row r="182" spans="1:3" x14ac:dyDescent="0.25">
      <c r="A182" s="5"/>
      <c r="B182" s="5"/>
      <c r="C182" s="5"/>
    </row>
    <row r="183" spans="1:3" x14ac:dyDescent="0.25">
      <c r="A183" s="5"/>
      <c r="B183" s="5"/>
      <c r="C183" s="5"/>
    </row>
    <row r="184" spans="1:3" x14ac:dyDescent="0.25">
      <c r="A184" s="5"/>
      <c r="B184" s="5"/>
      <c r="C184" s="5"/>
    </row>
    <row r="185" spans="1:3" x14ac:dyDescent="0.25">
      <c r="A185" s="5"/>
      <c r="B185" s="5"/>
      <c r="C185" s="5"/>
    </row>
    <row r="186" spans="1:3" x14ac:dyDescent="0.25">
      <c r="A186" s="5"/>
      <c r="B186" s="5"/>
      <c r="C186" s="5"/>
    </row>
    <row r="187" spans="1:3" x14ac:dyDescent="0.25">
      <c r="A187" s="5"/>
      <c r="B187" s="5"/>
      <c r="C187" s="5"/>
    </row>
    <row r="188" spans="1:3" x14ac:dyDescent="0.25">
      <c r="A188" s="7"/>
      <c r="B188" s="7"/>
      <c r="C188" s="7"/>
    </row>
    <row r="189" spans="1:3" x14ac:dyDescent="0.25">
      <c r="A189" s="7"/>
      <c r="B189" s="7"/>
      <c r="C189" s="7"/>
    </row>
    <row r="190" spans="1:3" x14ac:dyDescent="0.25">
      <c r="A190" s="7"/>
      <c r="B190" s="7"/>
      <c r="C190" s="7"/>
    </row>
    <row r="191" spans="1:3" x14ac:dyDescent="0.25">
      <c r="A191" s="7"/>
      <c r="B191" s="7"/>
      <c r="C191" s="7"/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/>
      <c r="B194" s="7"/>
      <c r="C194" s="7"/>
    </row>
    <row r="195" spans="1:3" x14ac:dyDescent="0.25">
      <c r="A195" s="7"/>
      <c r="B195" s="7"/>
      <c r="C195" s="7"/>
    </row>
    <row r="196" spans="1:3" x14ac:dyDescent="0.25">
      <c r="A196" s="7"/>
      <c r="B196" s="7"/>
      <c r="C196" s="7"/>
    </row>
    <row r="197" spans="1:3" x14ac:dyDescent="0.25">
      <c r="A197" s="7"/>
      <c r="B197" s="7"/>
      <c r="C197" s="7"/>
    </row>
    <row r="198" spans="1:3" x14ac:dyDescent="0.25">
      <c r="A198" s="7"/>
      <c r="B198" s="7"/>
      <c r="C198" s="7"/>
    </row>
    <row r="199" spans="1:3" x14ac:dyDescent="0.25">
      <c r="A199" s="7"/>
      <c r="B199" s="7"/>
      <c r="C199" s="7"/>
    </row>
    <row r="200" spans="1:3" x14ac:dyDescent="0.25">
      <c r="A200" s="7"/>
      <c r="B200" s="7"/>
      <c r="C200" s="7"/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/>
      <c r="B203" s="7"/>
      <c r="C203" s="7"/>
    </row>
    <row r="204" spans="1:3" x14ac:dyDescent="0.25">
      <c r="A204" s="7"/>
      <c r="B204" s="7"/>
      <c r="C204" s="7"/>
    </row>
    <row r="205" spans="1:3" x14ac:dyDescent="0.25">
      <c r="A205" s="7"/>
      <c r="B205" s="7"/>
      <c r="C205" s="7"/>
    </row>
    <row r="206" spans="1:3" x14ac:dyDescent="0.25">
      <c r="A206" s="7"/>
      <c r="B206" s="7"/>
      <c r="C206" s="7"/>
    </row>
    <row r="207" spans="1:3" x14ac:dyDescent="0.25">
      <c r="A207" s="7"/>
      <c r="B207" s="7"/>
      <c r="C207" s="7"/>
    </row>
    <row r="208" spans="1:3" x14ac:dyDescent="0.25">
      <c r="A208" s="7"/>
      <c r="B208" s="7"/>
      <c r="C208" s="7"/>
    </row>
    <row r="209" spans="1:3" x14ac:dyDescent="0.25">
      <c r="A209" s="7"/>
      <c r="B209" s="7"/>
      <c r="C209" s="7"/>
    </row>
    <row r="210" spans="1:3" x14ac:dyDescent="0.25">
      <c r="A210" s="7"/>
      <c r="B210" s="7"/>
      <c r="C210" s="7"/>
    </row>
    <row r="211" spans="1:3" x14ac:dyDescent="0.25">
      <c r="A211" s="7"/>
      <c r="B211" s="7"/>
      <c r="C211" s="7"/>
    </row>
    <row r="212" spans="1:3" x14ac:dyDescent="0.25">
      <c r="A212" s="7"/>
      <c r="B212" s="7"/>
      <c r="C212" s="7"/>
    </row>
    <row r="213" spans="1:3" x14ac:dyDescent="0.25">
      <c r="A213" s="7"/>
      <c r="B213" s="7"/>
      <c r="C213" s="7"/>
    </row>
    <row r="214" spans="1:3" x14ac:dyDescent="0.25">
      <c r="A214" s="7"/>
      <c r="B214" s="7"/>
      <c r="C214" s="7"/>
    </row>
    <row r="215" spans="1:3" x14ac:dyDescent="0.25">
      <c r="A215" s="7"/>
      <c r="B215" s="7"/>
      <c r="C215" s="7"/>
    </row>
    <row r="216" spans="1:3" x14ac:dyDescent="0.25">
      <c r="A216" s="7"/>
      <c r="B216" s="7"/>
      <c r="C216" s="7"/>
    </row>
    <row r="217" spans="1:3" x14ac:dyDescent="0.25">
      <c r="A217" s="7"/>
      <c r="B217" s="7"/>
      <c r="C217" s="7"/>
    </row>
    <row r="218" spans="1:3" x14ac:dyDescent="0.25">
      <c r="A218" s="7"/>
      <c r="B218" s="7"/>
      <c r="C218" s="7"/>
    </row>
    <row r="219" spans="1:3" x14ac:dyDescent="0.25">
      <c r="A219" s="7"/>
      <c r="B219" s="7"/>
      <c r="C219" s="7"/>
    </row>
    <row r="220" spans="1:3" x14ac:dyDescent="0.25">
      <c r="A220" s="7"/>
      <c r="B220" s="7"/>
      <c r="C220" s="7"/>
    </row>
    <row r="221" spans="1:3" x14ac:dyDescent="0.25">
      <c r="A221" s="7"/>
      <c r="B221" s="7"/>
      <c r="C221" s="7"/>
    </row>
    <row r="222" spans="1:3" x14ac:dyDescent="0.25">
      <c r="A222" s="7"/>
      <c r="B222" s="7"/>
      <c r="C222" s="7"/>
    </row>
    <row r="223" spans="1:3" x14ac:dyDescent="0.25">
      <c r="A223" s="7"/>
      <c r="B223" s="7"/>
      <c r="C223" s="7"/>
    </row>
    <row r="224" spans="1:3" x14ac:dyDescent="0.25">
      <c r="A224" s="7"/>
      <c r="B224" s="7"/>
      <c r="C224" s="7"/>
    </row>
    <row r="225" spans="1:3" x14ac:dyDescent="0.25">
      <c r="A225" s="7"/>
      <c r="B225" s="7"/>
      <c r="C225" s="7"/>
    </row>
    <row r="226" spans="1:3" x14ac:dyDescent="0.25">
      <c r="A226" s="7"/>
      <c r="B226" s="7"/>
      <c r="C226" s="7"/>
    </row>
    <row r="227" spans="1:3" x14ac:dyDescent="0.25">
      <c r="A227" s="7"/>
      <c r="B227" s="7"/>
      <c r="C227" s="7"/>
    </row>
    <row r="228" spans="1:3" x14ac:dyDescent="0.25">
      <c r="A228" s="7"/>
      <c r="B228" s="7"/>
      <c r="C228" s="7"/>
    </row>
    <row r="229" spans="1:3" x14ac:dyDescent="0.25">
      <c r="A229" s="7"/>
      <c r="B229" s="7"/>
      <c r="C229" s="7"/>
    </row>
    <row r="230" spans="1:3" x14ac:dyDescent="0.25">
      <c r="A230" s="7"/>
      <c r="B230" s="7"/>
      <c r="C230" s="7"/>
    </row>
    <row r="231" spans="1:3" x14ac:dyDescent="0.25">
      <c r="A231" s="7"/>
      <c r="B231" s="7"/>
      <c r="C231" s="7"/>
    </row>
    <row r="232" spans="1:3" x14ac:dyDescent="0.25">
      <c r="A232" s="7"/>
      <c r="B232" s="7"/>
      <c r="C232" s="7"/>
    </row>
    <row r="233" spans="1:3" x14ac:dyDescent="0.25">
      <c r="A233" s="7"/>
      <c r="B233" s="7"/>
      <c r="C233" s="7"/>
    </row>
    <row r="234" spans="1:3" x14ac:dyDescent="0.25">
      <c r="A234" s="7"/>
      <c r="B234" s="7"/>
      <c r="C234" s="7"/>
    </row>
    <row r="235" spans="1:3" x14ac:dyDescent="0.25">
      <c r="A235" s="7"/>
      <c r="B235" s="7"/>
      <c r="C235" s="7"/>
    </row>
    <row r="236" spans="1:3" x14ac:dyDescent="0.25">
      <c r="A236" s="7"/>
      <c r="B236" s="7"/>
      <c r="C236" s="7"/>
    </row>
    <row r="237" spans="1:3" x14ac:dyDescent="0.25">
      <c r="A237" s="7"/>
      <c r="B237" s="7"/>
      <c r="C237" s="7"/>
    </row>
    <row r="238" spans="1:3" x14ac:dyDescent="0.25">
      <c r="A238" s="7"/>
      <c r="B238" s="7"/>
      <c r="C238" s="7"/>
    </row>
    <row r="239" spans="1:3" x14ac:dyDescent="0.25">
      <c r="A239" s="7"/>
      <c r="B239" s="7"/>
      <c r="C239" s="7"/>
    </row>
    <row r="240" spans="1:3" x14ac:dyDescent="0.25">
      <c r="A240" s="7"/>
      <c r="B240" s="7"/>
      <c r="C240" s="7"/>
    </row>
    <row r="241" spans="1:3" x14ac:dyDescent="0.25">
      <c r="A241" s="7"/>
      <c r="B241" s="7"/>
      <c r="C241" s="7"/>
    </row>
    <row r="242" spans="1:3" x14ac:dyDescent="0.25">
      <c r="A242" s="7"/>
      <c r="B242" s="7"/>
      <c r="C24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242"/>
  <sheetViews>
    <sheetView topLeftCell="A3" zoomScale="80" zoomScaleNormal="80" workbookViewId="0">
      <selection activeCell="B129" sqref="B1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221</v>
      </c>
      <c r="C4" s="9" t="s">
        <v>221</v>
      </c>
    </row>
    <row r="5" spans="1:6" x14ac:dyDescent="0.25">
      <c r="A5" s="9">
        <v>2</v>
      </c>
      <c r="B5" s="9" t="s">
        <v>221</v>
      </c>
      <c r="C5" s="9" t="s">
        <v>221</v>
      </c>
    </row>
    <row r="6" spans="1:6" x14ac:dyDescent="0.25">
      <c r="A6" s="9">
        <v>3</v>
      </c>
      <c r="B6" s="9" t="s">
        <v>221</v>
      </c>
      <c r="C6" s="9" t="s">
        <v>221</v>
      </c>
    </row>
    <row r="7" spans="1:6" x14ac:dyDescent="0.25">
      <c r="A7" s="9">
        <v>4</v>
      </c>
      <c r="B7" s="9" t="s">
        <v>221</v>
      </c>
      <c r="C7" s="9" t="s">
        <v>221</v>
      </c>
    </row>
    <row r="8" spans="1:6" x14ac:dyDescent="0.25">
      <c r="A8" s="9">
        <v>5</v>
      </c>
      <c r="B8" s="9" t="s">
        <v>221</v>
      </c>
      <c r="C8" s="9" t="s">
        <v>221</v>
      </c>
    </row>
    <row r="9" spans="1:6" x14ac:dyDescent="0.25">
      <c r="A9" s="9">
        <v>6</v>
      </c>
      <c r="B9" s="9" t="s">
        <v>221</v>
      </c>
      <c r="C9" s="9" t="s">
        <v>221</v>
      </c>
    </row>
    <row r="10" spans="1:6" x14ac:dyDescent="0.25">
      <c r="A10" s="9">
        <v>7</v>
      </c>
      <c r="B10" s="9" t="s">
        <v>221</v>
      </c>
      <c r="C10" s="9" t="s">
        <v>221</v>
      </c>
    </row>
    <row r="11" spans="1:6" x14ac:dyDescent="0.25">
      <c r="A11" s="9">
        <v>8</v>
      </c>
      <c r="B11" s="9" t="s">
        <v>221</v>
      </c>
      <c r="C11" s="9" t="s">
        <v>221</v>
      </c>
    </row>
    <row r="12" spans="1:6" x14ac:dyDescent="0.25">
      <c r="A12" s="9">
        <v>9</v>
      </c>
      <c r="B12" s="9" t="s">
        <v>221</v>
      </c>
      <c r="C12" s="9" t="s">
        <v>221</v>
      </c>
    </row>
    <row r="13" spans="1:6" x14ac:dyDescent="0.25">
      <c r="A13" s="9">
        <v>10</v>
      </c>
      <c r="B13" s="9" t="s">
        <v>221</v>
      </c>
      <c r="C13" s="9" t="s">
        <v>221</v>
      </c>
    </row>
    <row r="14" spans="1:6" x14ac:dyDescent="0.25">
      <c r="A14" s="9">
        <v>11</v>
      </c>
      <c r="B14" s="9" t="s">
        <v>221</v>
      </c>
      <c r="C14" s="9" t="s">
        <v>221</v>
      </c>
    </row>
    <row r="15" spans="1:6" x14ac:dyDescent="0.25">
      <c r="A15" s="9">
        <v>12</v>
      </c>
      <c r="B15" s="9" t="s">
        <v>221</v>
      </c>
      <c r="C15" s="9" t="s">
        <v>221</v>
      </c>
    </row>
    <row r="16" spans="1:6" x14ac:dyDescent="0.25">
      <c r="A16" s="9">
        <v>13</v>
      </c>
      <c r="B16" s="9" t="s">
        <v>221</v>
      </c>
      <c r="C16" s="9" t="s">
        <v>221</v>
      </c>
    </row>
    <row r="17" spans="1:3" x14ac:dyDescent="0.25">
      <c r="A17" s="9">
        <v>14</v>
      </c>
      <c r="B17" s="9" t="s">
        <v>221</v>
      </c>
      <c r="C17" s="9" t="s">
        <v>221</v>
      </c>
    </row>
    <row r="18" spans="1:3" x14ac:dyDescent="0.25">
      <c r="A18" s="9">
        <v>15</v>
      </c>
      <c r="B18" s="9" t="s">
        <v>221</v>
      </c>
      <c r="C18" s="9" t="s">
        <v>221</v>
      </c>
    </row>
    <row r="19" spans="1:3" x14ac:dyDescent="0.25">
      <c r="A19" s="9">
        <v>16</v>
      </c>
      <c r="B19" s="9" t="s">
        <v>221</v>
      </c>
      <c r="C19" s="9" t="s">
        <v>221</v>
      </c>
    </row>
    <row r="20" spans="1:3" x14ac:dyDescent="0.25">
      <c r="A20" s="9">
        <v>17</v>
      </c>
      <c r="B20" s="9" t="s">
        <v>221</v>
      </c>
      <c r="C20" s="9" t="s">
        <v>221</v>
      </c>
    </row>
    <row r="21" spans="1:3" x14ac:dyDescent="0.25">
      <c r="A21" s="9">
        <v>18</v>
      </c>
      <c r="B21" s="9" t="s">
        <v>221</v>
      </c>
      <c r="C21" s="9" t="s">
        <v>221</v>
      </c>
    </row>
    <row r="22" spans="1:3" x14ac:dyDescent="0.25">
      <c r="A22" s="9">
        <v>19</v>
      </c>
      <c r="B22" s="9" t="s">
        <v>221</v>
      </c>
      <c r="C22" s="9" t="s">
        <v>221</v>
      </c>
    </row>
    <row r="23" spans="1:3" x14ac:dyDescent="0.25">
      <c r="A23" s="9">
        <v>20</v>
      </c>
      <c r="B23" s="9" t="s">
        <v>221</v>
      </c>
      <c r="C23" s="9" t="s">
        <v>221</v>
      </c>
    </row>
    <row r="24" spans="1:3" x14ac:dyDescent="0.25">
      <c r="A24" s="9">
        <v>21</v>
      </c>
      <c r="B24" s="9" t="s">
        <v>221</v>
      </c>
      <c r="C24" s="9" t="s">
        <v>221</v>
      </c>
    </row>
    <row r="25" spans="1:3" x14ac:dyDescent="0.25">
      <c r="A25" s="9">
        <v>22</v>
      </c>
      <c r="B25" s="9" t="s">
        <v>221</v>
      </c>
      <c r="C25" s="9" t="s">
        <v>221</v>
      </c>
    </row>
    <row r="26" spans="1:3" x14ac:dyDescent="0.25">
      <c r="A26" s="9">
        <v>23</v>
      </c>
      <c r="B26" s="9" t="s">
        <v>221</v>
      </c>
      <c r="C26" s="9" t="s">
        <v>221</v>
      </c>
    </row>
    <row r="27" spans="1:3" x14ac:dyDescent="0.25">
      <c r="A27" s="9">
        <v>24</v>
      </c>
      <c r="B27" s="9" t="s">
        <v>221</v>
      </c>
      <c r="C27" s="9" t="s">
        <v>221</v>
      </c>
    </row>
    <row r="28" spans="1:3" x14ac:dyDescent="0.25">
      <c r="A28" s="9">
        <v>25</v>
      </c>
      <c r="B28" s="9" t="s">
        <v>221</v>
      </c>
      <c r="C28" s="9" t="s">
        <v>221</v>
      </c>
    </row>
    <row r="29" spans="1:3" x14ac:dyDescent="0.25">
      <c r="A29" s="9">
        <v>26</v>
      </c>
      <c r="B29" s="9" t="s">
        <v>221</v>
      </c>
      <c r="C29" s="9" t="s">
        <v>221</v>
      </c>
    </row>
    <row r="30" spans="1:3" x14ac:dyDescent="0.25">
      <c r="A30" s="9">
        <v>27</v>
      </c>
      <c r="B30" s="9" t="s">
        <v>221</v>
      </c>
      <c r="C30" s="9" t="s">
        <v>221</v>
      </c>
    </row>
    <row r="31" spans="1:3" x14ac:dyDescent="0.25">
      <c r="A31" s="9">
        <v>28</v>
      </c>
      <c r="B31" s="9" t="s">
        <v>221</v>
      </c>
      <c r="C31" s="9" t="s">
        <v>221</v>
      </c>
    </row>
    <row r="32" spans="1:3" x14ac:dyDescent="0.25">
      <c r="A32" s="9">
        <v>29</v>
      </c>
      <c r="B32" s="9" t="s">
        <v>221</v>
      </c>
      <c r="C32" s="9" t="s">
        <v>221</v>
      </c>
    </row>
    <row r="33" spans="1:3" x14ac:dyDescent="0.25">
      <c r="A33" s="9">
        <v>30</v>
      </c>
      <c r="B33" s="9" t="s">
        <v>221</v>
      </c>
      <c r="C33" s="9" t="s">
        <v>221</v>
      </c>
    </row>
    <row r="34" spans="1:3" x14ac:dyDescent="0.25">
      <c r="A34" s="9">
        <v>31</v>
      </c>
      <c r="B34" s="9" t="s">
        <v>221</v>
      </c>
      <c r="C34" s="9" t="s">
        <v>221</v>
      </c>
    </row>
    <row r="35" spans="1:3" x14ac:dyDescent="0.25">
      <c r="A35" s="9">
        <v>32</v>
      </c>
      <c r="B35" s="9" t="s">
        <v>221</v>
      </c>
      <c r="C35" s="9" t="s">
        <v>221</v>
      </c>
    </row>
    <row r="36" spans="1:3" x14ac:dyDescent="0.25">
      <c r="A36" s="9">
        <v>33</v>
      </c>
      <c r="B36" s="9" t="s">
        <v>221</v>
      </c>
      <c r="C36" s="9" t="s">
        <v>221</v>
      </c>
    </row>
    <row r="37" spans="1:3" x14ac:dyDescent="0.25">
      <c r="A37" s="9">
        <v>34</v>
      </c>
      <c r="B37" s="9" t="s">
        <v>221</v>
      </c>
      <c r="C37" s="9" t="s">
        <v>221</v>
      </c>
    </row>
    <row r="38" spans="1:3" x14ac:dyDescent="0.25">
      <c r="A38" s="9">
        <v>35</v>
      </c>
      <c r="B38" s="9" t="s">
        <v>221</v>
      </c>
      <c r="C38" s="9" t="s">
        <v>221</v>
      </c>
    </row>
    <row r="39" spans="1:3" x14ac:dyDescent="0.25">
      <c r="A39" s="9">
        <v>36</v>
      </c>
      <c r="B39" s="9" t="s">
        <v>221</v>
      </c>
      <c r="C39" s="9" t="s">
        <v>221</v>
      </c>
    </row>
    <row r="40" spans="1:3" x14ac:dyDescent="0.25">
      <c r="A40" s="9">
        <v>37</v>
      </c>
      <c r="B40" s="9" t="s">
        <v>221</v>
      </c>
      <c r="C40" s="9" t="s">
        <v>221</v>
      </c>
    </row>
    <row r="41" spans="1:3" x14ac:dyDescent="0.25">
      <c r="A41" s="9">
        <v>38</v>
      </c>
      <c r="B41" s="9" t="s">
        <v>221</v>
      </c>
      <c r="C41" s="9" t="s">
        <v>221</v>
      </c>
    </row>
    <row r="42" spans="1:3" x14ac:dyDescent="0.25">
      <c r="A42" s="9">
        <v>39</v>
      </c>
      <c r="B42" s="9" t="s">
        <v>221</v>
      </c>
      <c r="C42" s="9" t="s">
        <v>221</v>
      </c>
    </row>
    <row r="43" spans="1:3" x14ac:dyDescent="0.25">
      <c r="A43" s="9">
        <v>40</v>
      </c>
      <c r="B43" s="9" t="s">
        <v>221</v>
      </c>
      <c r="C43" s="9" t="s">
        <v>221</v>
      </c>
    </row>
    <row r="44" spans="1:3" x14ac:dyDescent="0.25">
      <c r="A44" s="9">
        <v>41</v>
      </c>
      <c r="B44" s="9" t="s">
        <v>221</v>
      </c>
      <c r="C44" s="9" t="s">
        <v>221</v>
      </c>
    </row>
    <row r="45" spans="1:3" x14ac:dyDescent="0.25">
      <c r="A45" s="9">
        <v>42</v>
      </c>
      <c r="B45" s="9" t="s">
        <v>221</v>
      </c>
      <c r="C45" s="9" t="s">
        <v>221</v>
      </c>
    </row>
    <row r="46" spans="1:3" x14ac:dyDescent="0.25">
      <c r="A46" s="9">
        <v>43</v>
      </c>
      <c r="B46" s="9" t="s">
        <v>221</v>
      </c>
      <c r="C46" s="9" t="s">
        <v>221</v>
      </c>
    </row>
    <row r="47" spans="1:3" x14ac:dyDescent="0.25">
      <c r="A47" s="9">
        <v>44</v>
      </c>
      <c r="B47" s="9" t="s">
        <v>221</v>
      </c>
      <c r="C47" s="9" t="s">
        <v>221</v>
      </c>
    </row>
    <row r="48" spans="1:3" x14ac:dyDescent="0.25">
      <c r="A48" s="9">
        <v>45</v>
      </c>
      <c r="B48" s="9" t="s">
        <v>221</v>
      </c>
      <c r="C48" s="9" t="s">
        <v>221</v>
      </c>
    </row>
    <row r="49" spans="1:3" x14ac:dyDescent="0.25">
      <c r="A49" s="9">
        <v>46</v>
      </c>
      <c r="B49" s="9" t="s">
        <v>221</v>
      </c>
      <c r="C49" s="9" t="s">
        <v>221</v>
      </c>
    </row>
    <row r="50" spans="1:3" x14ac:dyDescent="0.25">
      <c r="A50" s="9">
        <v>47</v>
      </c>
      <c r="B50" s="9" t="s">
        <v>221</v>
      </c>
      <c r="C50" s="9" t="s">
        <v>221</v>
      </c>
    </row>
    <row r="51" spans="1:3" x14ac:dyDescent="0.25">
      <c r="A51" s="9">
        <v>48</v>
      </c>
      <c r="B51" s="9" t="s">
        <v>221</v>
      </c>
      <c r="C51" s="9" t="s">
        <v>221</v>
      </c>
    </row>
    <row r="52" spans="1:3" x14ac:dyDescent="0.25">
      <c r="A52" s="9">
        <v>49</v>
      </c>
      <c r="B52" s="9" t="s">
        <v>221</v>
      </c>
      <c r="C52" s="9" t="s">
        <v>221</v>
      </c>
    </row>
    <row r="53" spans="1:3" x14ac:dyDescent="0.25">
      <c r="A53" s="9">
        <v>50</v>
      </c>
      <c r="B53" s="9" t="s">
        <v>221</v>
      </c>
      <c r="C53" s="9" t="s">
        <v>221</v>
      </c>
    </row>
    <row r="54" spans="1:3" x14ac:dyDescent="0.25">
      <c r="A54" s="9">
        <v>51</v>
      </c>
      <c r="B54" s="9" t="s">
        <v>221</v>
      </c>
      <c r="C54" s="9" t="s">
        <v>221</v>
      </c>
    </row>
    <row r="55" spans="1:3" x14ac:dyDescent="0.25">
      <c r="A55" s="9">
        <v>52</v>
      </c>
      <c r="B55" s="9" t="s">
        <v>221</v>
      </c>
      <c r="C55" s="9" t="s">
        <v>221</v>
      </c>
    </row>
    <row r="56" spans="1:3" x14ac:dyDescent="0.25">
      <c r="A56" s="9">
        <v>53</v>
      </c>
      <c r="B56" s="9" t="s">
        <v>221</v>
      </c>
      <c r="C56" s="9" t="s">
        <v>221</v>
      </c>
    </row>
    <row r="57" spans="1:3" x14ac:dyDescent="0.25">
      <c r="A57" s="9">
        <v>54</v>
      </c>
      <c r="B57" s="9" t="s">
        <v>221</v>
      </c>
      <c r="C57" s="9" t="s">
        <v>221</v>
      </c>
    </row>
    <row r="58" spans="1:3" x14ac:dyDescent="0.25">
      <c r="A58" s="9">
        <v>55</v>
      </c>
      <c r="B58" s="9" t="s">
        <v>221</v>
      </c>
      <c r="C58" s="9" t="s">
        <v>221</v>
      </c>
    </row>
    <row r="59" spans="1:3" x14ac:dyDescent="0.25">
      <c r="A59" s="9">
        <v>56</v>
      </c>
      <c r="B59" s="9" t="s">
        <v>221</v>
      </c>
      <c r="C59" s="9" t="s">
        <v>221</v>
      </c>
    </row>
    <row r="60" spans="1:3" x14ac:dyDescent="0.25">
      <c r="A60" s="9">
        <v>57</v>
      </c>
      <c r="B60" s="9" t="s">
        <v>221</v>
      </c>
      <c r="C60" s="9" t="s">
        <v>221</v>
      </c>
    </row>
    <row r="61" spans="1:3" x14ac:dyDescent="0.25">
      <c r="A61" s="9">
        <v>58</v>
      </c>
      <c r="B61" s="9" t="s">
        <v>221</v>
      </c>
      <c r="C61" s="9" t="s">
        <v>221</v>
      </c>
    </row>
    <row r="62" spans="1:3" x14ac:dyDescent="0.25">
      <c r="A62" s="9">
        <v>59</v>
      </c>
      <c r="B62" s="9" t="s">
        <v>221</v>
      </c>
      <c r="C62" s="9" t="s">
        <v>221</v>
      </c>
    </row>
    <row r="63" spans="1:3" s="11" customFormat="1" x14ac:dyDescent="0.25">
      <c r="A63" s="11">
        <v>60</v>
      </c>
      <c r="B63" s="11" t="s">
        <v>221</v>
      </c>
      <c r="C63" s="11" t="s">
        <v>221</v>
      </c>
    </row>
    <row r="64" spans="1:3" s="11" customFormat="1" x14ac:dyDescent="0.25">
      <c r="A64" s="11">
        <v>61</v>
      </c>
      <c r="B64" s="11" t="s">
        <v>221</v>
      </c>
      <c r="C64" s="11" t="s">
        <v>221</v>
      </c>
    </row>
    <row r="65" spans="1:3" s="11" customFormat="1" x14ac:dyDescent="0.25">
      <c r="A65" s="11">
        <v>62</v>
      </c>
      <c r="B65" s="11" t="s">
        <v>221</v>
      </c>
      <c r="C65" s="11" t="s">
        <v>221</v>
      </c>
    </row>
    <row r="66" spans="1:3" s="11" customFormat="1" x14ac:dyDescent="0.25">
      <c r="A66" s="11">
        <v>63</v>
      </c>
      <c r="B66" s="11" t="s">
        <v>221</v>
      </c>
      <c r="C66" s="11" t="s">
        <v>221</v>
      </c>
    </row>
    <row r="67" spans="1:3" s="11" customFormat="1" x14ac:dyDescent="0.25">
      <c r="A67" s="11">
        <v>64</v>
      </c>
      <c r="B67" s="11" t="s">
        <v>221</v>
      </c>
      <c r="C67" s="11" t="s">
        <v>221</v>
      </c>
    </row>
    <row r="68" spans="1:3" s="11" customFormat="1" x14ac:dyDescent="0.25">
      <c r="A68" s="11">
        <v>65</v>
      </c>
      <c r="B68" s="11" t="s">
        <v>221</v>
      </c>
      <c r="C68" s="11" t="s">
        <v>221</v>
      </c>
    </row>
    <row r="69" spans="1:3" s="11" customFormat="1" x14ac:dyDescent="0.25">
      <c r="A69" s="11">
        <v>66</v>
      </c>
      <c r="B69" s="11" t="s">
        <v>221</v>
      </c>
      <c r="C69" s="11" t="s">
        <v>221</v>
      </c>
    </row>
    <row r="70" spans="1:3" s="11" customFormat="1" x14ac:dyDescent="0.25">
      <c r="A70" s="11">
        <v>67</v>
      </c>
      <c r="B70" s="11" t="s">
        <v>221</v>
      </c>
      <c r="C70" s="11" t="s">
        <v>221</v>
      </c>
    </row>
    <row r="71" spans="1:3" s="8" customFormat="1" x14ac:dyDescent="0.25">
      <c r="A71" s="8">
        <v>1</v>
      </c>
      <c r="B71" s="8" t="s">
        <v>221</v>
      </c>
      <c r="C71" s="8" t="s">
        <v>221</v>
      </c>
    </row>
    <row r="72" spans="1:3" x14ac:dyDescent="0.25">
      <c r="A72" s="9">
        <v>2</v>
      </c>
      <c r="B72" s="9" t="s">
        <v>221</v>
      </c>
      <c r="C72" s="9" t="s">
        <v>221</v>
      </c>
    </row>
    <row r="73" spans="1:3" x14ac:dyDescent="0.25">
      <c r="A73" s="9">
        <v>3</v>
      </c>
      <c r="B73" s="9" t="s">
        <v>221</v>
      </c>
      <c r="C73" s="9" t="s">
        <v>221</v>
      </c>
    </row>
    <row r="74" spans="1:3" x14ac:dyDescent="0.25">
      <c r="A74" s="9">
        <v>4</v>
      </c>
      <c r="B74" s="9" t="s">
        <v>221</v>
      </c>
      <c r="C74" s="9" t="s">
        <v>221</v>
      </c>
    </row>
    <row r="75" spans="1:3" x14ac:dyDescent="0.25">
      <c r="A75" s="9">
        <v>5</v>
      </c>
      <c r="B75" s="9" t="s">
        <v>221</v>
      </c>
      <c r="C75" s="9" t="s">
        <v>221</v>
      </c>
    </row>
    <row r="76" spans="1:3" x14ac:dyDescent="0.25">
      <c r="A76" s="9">
        <v>6</v>
      </c>
      <c r="B76" s="9" t="s">
        <v>221</v>
      </c>
      <c r="C76" s="9" t="s">
        <v>221</v>
      </c>
    </row>
    <row r="77" spans="1:3" x14ac:dyDescent="0.25">
      <c r="A77" s="9">
        <v>7</v>
      </c>
      <c r="B77" s="9" t="s">
        <v>221</v>
      </c>
      <c r="C77" s="9" t="s">
        <v>221</v>
      </c>
    </row>
    <row r="78" spans="1:3" x14ac:dyDescent="0.25">
      <c r="A78" s="9">
        <v>8</v>
      </c>
      <c r="B78" s="9" t="s">
        <v>221</v>
      </c>
      <c r="C78" s="9" t="s">
        <v>221</v>
      </c>
    </row>
    <row r="79" spans="1:3" x14ac:dyDescent="0.25">
      <c r="A79" s="9">
        <v>9</v>
      </c>
      <c r="B79" s="9" t="s">
        <v>221</v>
      </c>
      <c r="C79" s="9" t="s">
        <v>221</v>
      </c>
    </row>
    <row r="80" spans="1:3" x14ac:dyDescent="0.25">
      <c r="A80" s="9">
        <v>10</v>
      </c>
      <c r="B80" s="9" t="s">
        <v>221</v>
      </c>
      <c r="C80" s="9" t="s">
        <v>221</v>
      </c>
    </row>
    <row r="81" spans="1:3" x14ac:dyDescent="0.25">
      <c r="A81" s="9">
        <v>11</v>
      </c>
      <c r="B81" s="9" t="s">
        <v>221</v>
      </c>
      <c r="C81" s="9" t="s">
        <v>221</v>
      </c>
    </row>
    <row r="82" spans="1:3" x14ac:dyDescent="0.25">
      <c r="A82" s="9">
        <v>12</v>
      </c>
      <c r="B82" s="9" t="s">
        <v>221</v>
      </c>
      <c r="C82" s="9" t="s">
        <v>221</v>
      </c>
    </row>
    <row r="83" spans="1:3" x14ac:dyDescent="0.25">
      <c r="A83" s="9">
        <v>13</v>
      </c>
      <c r="B83" s="9" t="s">
        <v>221</v>
      </c>
      <c r="C83" s="9" t="s">
        <v>221</v>
      </c>
    </row>
    <row r="84" spans="1:3" x14ac:dyDescent="0.25">
      <c r="A84" s="9">
        <v>14</v>
      </c>
      <c r="B84" s="9" t="s">
        <v>221</v>
      </c>
      <c r="C84" s="9" t="s">
        <v>221</v>
      </c>
    </row>
    <row r="85" spans="1:3" x14ac:dyDescent="0.25">
      <c r="A85" s="9">
        <v>15</v>
      </c>
      <c r="B85" s="9" t="s">
        <v>221</v>
      </c>
      <c r="C85" s="9" t="s">
        <v>221</v>
      </c>
    </row>
    <row r="86" spans="1:3" x14ac:dyDescent="0.25">
      <c r="A86" s="9">
        <v>16</v>
      </c>
      <c r="B86" s="9" t="s">
        <v>221</v>
      </c>
      <c r="C86" s="9" t="s">
        <v>221</v>
      </c>
    </row>
    <row r="87" spans="1:3" x14ac:dyDescent="0.25">
      <c r="A87" s="9">
        <v>17</v>
      </c>
      <c r="B87" s="9" t="s">
        <v>221</v>
      </c>
      <c r="C87" s="9" t="s">
        <v>221</v>
      </c>
    </row>
    <row r="88" spans="1:3" x14ac:dyDescent="0.25">
      <c r="A88" s="9">
        <v>18</v>
      </c>
      <c r="B88" s="9" t="s">
        <v>221</v>
      </c>
      <c r="C88" s="9" t="s">
        <v>221</v>
      </c>
    </row>
    <row r="89" spans="1:3" x14ac:dyDescent="0.25">
      <c r="A89" s="9">
        <v>19</v>
      </c>
      <c r="B89" s="9" t="s">
        <v>221</v>
      </c>
      <c r="C89" s="9" t="s">
        <v>221</v>
      </c>
    </row>
    <row r="90" spans="1:3" x14ac:dyDescent="0.25">
      <c r="A90" s="9">
        <v>20</v>
      </c>
      <c r="B90" s="9" t="s">
        <v>221</v>
      </c>
      <c r="C90" s="9" t="s">
        <v>221</v>
      </c>
    </row>
    <row r="91" spans="1:3" x14ac:dyDescent="0.25">
      <c r="A91" s="9">
        <v>21</v>
      </c>
      <c r="B91" s="9" t="s">
        <v>221</v>
      </c>
      <c r="C91" s="9" t="s">
        <v>221</v>
      </c>
    </row>
    <row r="92" spans="1:3" x14ac:dyDescent="0.25">
      <c r="A92" s="9">
        <v>22</v>
      </c>
      <c r="B92" s="9" t="s">
        <v>221</v>
      </c>
      <c r="C92" s="9" t="s">
        <v>221</v>
      </c>
    </row>
    <row r="93" spans="1:3" x14ac:dyDescent="0.25">
      <c r="A93" s="9">
        <v>23</v>
      </c>
      <c r="B93" s="9" t="s">
        <v>221</v>
      </c>
      <c r="C93" s="9" t="s">
        <v>221</v>
      </c>
    </row>
    <row r="94" spans="1:3" x14ac:dyDescent="0.25">
      <c r="A94" s="9">
        <v>24</v>
      </c>
      <c r="B94" s="9" t="s">
        <v>221</v>
      </c>
      <c r="C94" s="9" t="s">
        <v>221</v>
      </c>
    </row>
    <row r="95" spans="1:3" x14ac:dyDescent="0.25">
      <c r="A95" s="9">
        <v>25</v>
      </c>
      <c r="B95" s="9" t="s">
        <v>221</v>
      </c>
      <c r="C95" s="9" t="s">
        <v>221</v>
      </c>
    </row>
    <row r="96" spans="1:3" x14ac:dyDescent="0.25">
      <c r="A96" s="9">
        <v>26</v>
      </c>
      <c r="B96" s="9" t="s">
        <v>221</v>
      </c>
      <c r="C96" s="9" t="s">
        <v>221</v>
      </c>
    </row>
    <row r="97" spans="1:3" x14ac:dyDescent="0.25">
      <c r="A97" s="9">
        <v>27</v>
      </c>
      <c r="B97" s="9" t="s">
        <v>221</v>
      </c>
      <c r="C97" s="9" t="s">
        <v>221</v>
      </c>
    </row>
    <row r="98" spans="1:3" x14ac:dyDescent="0.25">
      <c r="A98" s="9">
        <v>28</v>
      </c>
      <c r="B98" s="9" t="s">
        <v>221</v>
      </c>
      <c r="C98" s="9" t="s">
        <v>221</v>
      </c>
    </row>
    <row r="99" spans="1:3" x14ac:dyDescent="0.25">
      <c r="A99" s="9">
        <v>29</v>
      </c>
      <c r="B99" s="9" t="s">
        <v>221</v>
      </c>
      <c r="C99" s="9" t="s">
        <v>221</v>
      </c>
    </row>
    <row r="100" spans="1:3" x14ac:dyDescent="0.25">
      <c r="A100" s="9">
        <v>30</v>
      </c>
      <c r="B100" s="9" t="s">
        <v>221</v>
      </c>
      <c r="C100" s="9" t="s">
        <v>221</v>
      </c>
    </row>
    <row r="101" spans="1:3" x14ac:dyDescent="0.25">
      <c r="A101" s="9">
        <v>31</v>
      </c>
      <c r="B101" s="9" t="s">
        <v>221</v>
      </c>
      <c r="C101" s="9" t="s">
        <v>221</v>
      </c>
    </row>
    <row r="102" spans="1:3" x14ac:dyDescent="0.25">
      <c r="A102" s="9">
        <v>32</v>
      </c>
      <c r="B102" s="9" t="s">
        <v>221</v>
      </c>
      <c r="C102" s="9" t="s">
        <v>221</v>
      </c>
    </row>
    <row r="103" spans="1:3" x14ac:dyDescent="0.25">
      <c r="A103" s="9">
        <v>33</v>
      </c>
      <c r="B103" s="9" t="s">
        <v>221</v>
      </c>
      <c r="C103" s="9" t="s">
        <v>221</v>
      </c>
    </row>
    <row r="104" spans="1:3" x14ac:dyDescent="0.25">
      <c r="A104" s="9">
        <v>34</v>
      </c>
      <c r="B104" s="9" t="s">
        <v>221</v>
      </c>
      <c r="C104" s="9" t="s">
        <v>221</v>
      </c>
    </row>
    <row r="105" spans="1:3" x14ac:dyDescent="0.25">
      <c r="A105" s="9">
        <v>35</v>
      </c>
      <c r="B105" s="9" t="s">
        <v>221</v>
      </c>
      <c r="C105" s="9" t="s">
        <v>221</v>
      </c>
    </row>
    <row r="106" spans="1:3" x14ac:dyDescent="0.25">
      <c r="A106" s="9">
        <v>36</v>
      </c>
      <c r="B106" s="9" t="s">
        <v>221</v>
      </c>
      <c r="C106" s="9" t="s">
        <v>221</v>
      </c>
    </row>
    <row r="107" spans="1:3" x14ac:dyDescent="0.25">
      <c r="A107" s="9">
        <v>37</v>
      </c>
      <c r="B107" s="9" t="s">
        <v>221</v>
      </c>
      <c r="C107" s="9" t="s">
        <v>221</v>
      </c>
    </row>
    <row r="108" spans="1:3" x14ac:dyDescent="0.25">
      <c r="A108" s="9">
        <v>38</v>
      </c>
      <c r="B108" s="9" t="s">
        <v>221</v>
      </c>
      <c r="C108" s="9" t="s">
        <v>221</v>
      </c>
    </row>
    <row r="109" spans="1:3" x14ac:dyDescent="0.25">
      <c r="A109" s="9">
        <v>39</v>
      </c>
      <c r="B109" s="9" t="s">
        <v>221</v>
      </c>
      <c r="C109" s="9" t="s">
        <v>221</v>
      </c>
    </row>
    <row r="110" spans="1:3" x14ac:dyDescent="0.25">
      <c r="A110" s="9">
        <v>40</v>
      </c>
      <c r="B110" s="9" t="s">
        <v>221</v>
      </c>
      <c r="C110" s="9" t="s">
        <v>221</v>
      </c>
    </row>
    <row r="111" spans="1:3" x14ac:dyDescent="0.25">
      <c r="A111" s="9">
        <v>41</v>
      </c>
      <c r="B111" s="9" t="s">
        <v>221</v>
      </c>
      <c r="C111" s="9" t="s">
        <v>221</v>
      </c>
    </row>
    <row r="112" spans="1:3" x14ac:dyDescent="0.25">
      <c r="A112" s="9">
        <v>42</v>
      </c>
      <c r="B112" s="9" t="s">
        <v>221</v>
      </c>
      <c r="C112" s="9" t="s">
        <v>221</v>
      </c>
    </row>
    <row r="113" spans="1:3" x14ac:dyDescent="0.25">
      <c r="A113" s="9">
        <v>43</v>
      </c>
      <c r="B113" s="9" t="s">
        <v>221</v>
      </c>
      <c r="C113" s="9" t="s">
        <v>221</v>
      </c>
    </row>
    <row r="114" spans="1:3" x14ac:dyDescent="0.25">
      <c r="A114" s="9">
        <v>44</v>
      </c>
      <c r="B114" s="9" t="s">
        <v>221</v>
      </c>
      <c r="C114" s="9" t="s">
        <v>221</v>
      </c>
    </row>
    <row r="115" spans="1:3" x14ac:dyDescent="0.25">
      <c r="A115" s="9">
        <v>45</v>
      </c>
      <c r="B115" s="9" t="s">
        <v>221</v>
      </c>
      <c r="C115" s="9" t="s">
        <v>221</v>
      </c>
    </row>
    <row r="116" spans="1:3" x14ac:dyDescent="0.25">
      <c r="A116" s="9">
        <v>46</v>
      </c>
      <c r="B116" s="9" t="s">
        <v>221</v>
      </c>
      <c r="C116" s="9" t="s">
        <v>221</v>
      </c>
    </row>
    <row r="117" spans="1:3" x14ac:dyDescent="0.25">
      <c r="A117" s="9">
        <v>47</v>
      </c>
      <c r="B117" s="9" t="s">
        <v>221</v>
      </c>
      <c r="C117" s="9" t="s">
        <v>221</v>
      </c>
    </row>
    <row r="118" spans="1:3" x14ac:dyDescent="0.25">
      <c r="A118" s="9">
        <v>48</v>
      </c>
      <c r="B118" s="9" t="s">
        <v>221</v>
      </c>
      <c r="C118" s="9" t="s">
        <v>221</v>
      </c>
    </row>
    <row r="119" spans="1:3" x14ac:dyDescent="0.25">
      <c r="A119" s="9">
        <v>49</v>
      </c>
      <c r="B119" s="9" t="s">
        <v>221</v>
      </c>
      <c r="C119" s="9" t="s">
        <v>221</v>
      </c>
    </row>
    <row r="120" spans="1:3" x14ac:dyDescent="0.25">
      <c r="A120" s="9">
        <v>50</v>
      </c>
      <c r="B120" s="9" t="s">
        <v>221</v>
      </c>
      <c r="C120" s="9" t="s">
        <v>221</v>
      </c>
    </row>
    <row r="121" spans="1:3" x14ac:dyDescent="0.25">
      <c r="A121" s="9">
        <v>51</v>
      </c>
      <c r="B121" s="9" t="s">
        <v>221</v>
      </c>
      <c r="C121" s="9" t="s">
        <v>221</v>
      </c>
    </row>
    <row r="122" spans="1:3" x14ac:dyDescent="0.25">
      <c r="A122" s="9">
        <v>52</v>
      </c>
      <c r="B122" s="9" t="s">
        <v>221</v>
      </c>
      <c r="C122" s="9" t="s">
        <v>221</v>
      </c>
    </row>
    <row r="123" spans="1:3" x14ac:dyDescent="0.25">
      <c r="A123" s="9">
        <v>53</v>
      </c>
      <c r="B123" s="9" t="s">
        <v>221</v>
      </c>
      <c r="C123" s="9" t="s">
        <v>221</v>
      </c>
    </row>
    <row r="124" spans="1:3" x14ac:dyDescent="0.25">
      <c r="A124" s="9">
        <v>54</v>
      </c>
      <c r="B124" s="9" t="s">
        <v>221</v>
      </c>
      <c r="C124" s="9" t="s">
        <v>221</v>
      </c>
    </row>
    <row r="125" spans="1:3" x14ac:dyDescent="0.25">
      <c r="A125" s="9">
        <v>55</v>
      </c>
      <c r="B125" s="9" t="s">
        <v>221</v>
      </c>
      <c r="C125" s="9" t="s">
        <v>221</v>
      </c>
    </row>
    <row r="126" spans="1:3" x14ac:dyDescent="0.25">
      <c r="A126" s="9">
        <v>56</v>
      </c>
      <c r="B126" s="9" t="s">
        <v>221</v>
      </c>
      <c r="C126" s="9" t="s">
        <v>221</v>
      </c>
    </row>
    <row r="127" spans="1:3" x14ac:dyDescent="0.25">
      <c r="A127" s="9">
        <v>57</v>
      </c>
      <c r="B127" s="9" t="s">
        <v>221</v>
      </c>
      <c r="C127" s="9" t="s">
        <v>221</v>
      </c>
    </row>
    <row r="128" spans="1:3" x14ac:dyDescent="0.25">
      <c r="A128" s="9">
        <v>58</v>
      </c>
      <c r="B128" s="9" t="s">
        <v>221</v>
      </c>
      <c r="C128" s="9" t="s">
        <v>221</v>
      </c>
    </row>
    <row r="129" spans="1:3" x14ac:dyDescent="0.25">
      <c r="A129" s="9">
        <v>59</v>
      </c>
      <c r="B129" s="9" t="s">
        <v>221</v>
      </c>
      <c r="C129" s="9" t="s">
        <v>221</v>
      </c>
    </row>
    <row r="130" spans="1:3" x14ac:dyDescent="0.25">
      <c r="A130" s="9">
        <v>60</v>
      </c>
      <c r="B130" s="9" t="s">
        <v>221</v>
      </c>
      <c r="C130" s="9" t="s">
        <v>221</v>
      </c>
    </row>
    <row r="131" spans="1:3" x14ac:dyDescent="0.25">
      <c r="A131" s="9"/>
      <c r="B131" s="9"/>
      <c r="C131" s="9"/>
    </row>
    <row r="132" spans="1:3" x14ac:dyDescent="0.25">
      <c r="A132" s="9"/>
      <c r="B132" s="9"/>
      <c r="C132" s="9"/>
    </row>
    <row r="133" spans="1:3" x14ac:dyDescent="0.25">
      <c r="A133" s="9"/>
      <c r="B133" s="9"/>
      <c r="C133" s="9"/>
    </row>
    <row r="134" spans="1:3" x14ac:dyDescent="0.25">
      <c r="A134" s="9"/>
      <c r="B134" s="9"/>
      <c r="C134" s="9"/>
    </row>
    <row r="135" spans="1:3" x14ac:dyDescent="0.25">
      <c r="A135" s="9"/>
      <c r="B135" s="9"/>
      <c r="C135" s="9"/>
    </row>
    <row r="136" spans="1:3" x14ac:dyDescent="0.25">
      <c r="A136" s="9"/>
      <c r="B136" s="9"/>
      <c r="C136" s="9"/>
    </row>
    <row r="137" spans="1:3" x14ac:dyDescent="0.25">
      <c r="A137" s="9"/>
      <c r="B137" s="9"/>
      <c r="C137" s="9"/>
    </row>
    <row r="138" spans="1:3" x14ac:dyDescent="0.25">
      <c r="A138" s="9"/>
      <c r="B138" s="9"/>
      <c r="C138" s="9"/>
    </row>
    <row r="139" spans="1:3" x14ac:dyDescent="0.25">
      <c r="A139" s="9"/>
      <c r="B139" s="9"/>
      <c r="C139" s="9"/>
    </row>
    <row r="140" spans="1:3" x14ac:dyDescent="0.25">
      <c r="A140" s="9"/>
      <c r="B140" s="9"/>
      <c r="C140" s="9"/>
    </row>
    <row r="141" spans="1:3" x14ac:dyDescent="0.25">
      <c r="A141" s="9"/>
      <c r="B141" s="9"/>
      <c r="C141" s="9"/>
    </row>
    <row r="142" spans="1:3" x14ac:dyDescent="0.25">
      <c r="A142" s="9"/>
      <c r="B142" s="9"/>
      <c r="C142" s="9"/>
    </row>
    <row r="143" spans="1:3" x14ac:dyDescent="0.25">
      <c r="A143" s="9"/>
      <c r="B143" s="9"/>
      <c r="C143" s="9"/>
    </row>
    <row r="144" spans="1:3" x14ac:dyDescent="0.25">
      <c r="A144" s="9"/>
      <c r="B144" s="9"/>
      <c r="C144" s="9"/>
    </row>
    <row r="145" spans="1:3" x14ac:dyDescent="0.25">
      <c r="A145" s="9"/>
      <c r="B145" s="9"/>
      <c r="C145" s="9"/>
    </row>
    <row r="146" spans="1:3" x14ac:dyDescent="0.25">
      <c r="A146" s="9"/>
      <c r="B146" s="9"/>
      <c r="C146" s="9"/>
    </row>
    <row r="147" spans="1:3" x14ac:dyDescent="0.25">
      <c r="A147" s="9"/>
      <c r="B147" s="9"/>
      <c r="C147" s="9"/>
    </row>
    <row r="148" spans="1:3" x14ac:dyDescent="0.25">
      <c r="A148" s="9"/>
      <c r="B148" s="9"/>
      <c r="C148" s="9"/>
    </row>
    <row r="149" spans="1:3" x14ac:dyDescent="0.25">
      <c r="A149" s="9"/>
      <c r="B149" s="9"/>
      <c r="C149" s="9"/>
    </row>
    <row r="150" spans="1:3" x14ac:dyDescent="0.25">
      <c r="A150" s="9"/>
      <c r="B150" s="9"/>
      <c r="C150" s="9"/>
    </row>
    <row r="151" spans="1:3" x14ac:dyDescent="0.25">
      <c r="A151" s="9"/>
      <c r="B151" s="9"/>
      <c r="C151" s="9"/>
    </row>
    <row r="152" spans="1:3" x14ac:dyDescent="0.25">
      <c r="A152" s="9"/>
      <c r="B152" s="9"/>
      <c r="C152" s="9"/>
    </row>
    <row r="153" spans="1:3" x14ac:dyDescent="0.25">
      <c r="A153" s="9"/>
      <c r="B153" s="9"/>
      <c r="C153" s="9"/>
    </row>
    <row r="154" spans="1:3" x14ac:dyDescent="0.25">
      <c r="A154" s="9"/>
      <c r="B154" s="9"/>
      <c r="C154" s="9"/>
    </row>
    <row r="155" spans="1:3" x14ac:dyDescent="0.25">
      <c r="A155" s="9"/>
      <c r="B155" s="9"/>
      <c r="C155" s="9"/>
    </row>
    <row r="156" spans="1:3" x14ac:dyDescent="0.25">
      <c r="A156" s="9"/>
      <c r="B156" s="9"/>
      <c r="C156" s="9"/>
    </row>
    <row r="157" spans="1:3" x14ac:dyDescent="0.25">
      <c r="A157" s="9"/>
      <c r="B157" s="9"/>
      <c r="C157" s="9"/>
    </row>
    <row r="158" spans="1:3" x14ac:dyDescent="0.25">
      <c r="A158" s="9"/>
      <c r="B158" s="9"/>
      <c r="C158" s="9"/>
    </row>
    <row r="159" spans="1:3" x14ac:dyDescent="0.25">
      <c r="A159" s="9"/>
      <c r="B159" s="9"/>
      <c r="C159" s="9"/>
    </row>
    <row r="160" spans="1:3" x14ac:dyDescent="0.25">
      <c r="A160" s="9"/>
      <c r="B160" s="9"/>
      <c r="C160" s="9"/>
    </row>
    <row r="161" spans="1:3" x14ac:dyDescent="0.25">
      <c r="A161" s="9"/>
      <c r="B161" s="9"/>
      <c r="C161" s="9"/>
    </row>
    <row r="162" spans="1:3" x14ac:dyDescent="0.25">
      <c r="A162" s="9"/>
      <c r="B162" s="9"/>
      <c r="C162" s="9"/>
    </row>
    <row r="163" spans="1:3" x14ac:dyDescent="0.25">
      <c r="A163" s="9"/>
      <c r="B163" s="9"/>
      <c r="C163" s="9"/>
    </row>
    <row r="164" spans="1:3" x14ac:dyDescent="0.25">
      <c r="A164" s="9"/>
      <c r="B164" s="9"/>
      <c r="C164" s="9"/>
    </row>
    <row r="165" spans="1:3" x14ac:dyDescent="0.25">
      <c r="A165" s="9"/>
      <c r="B165" s="9"/>
      <c r="C165" s="9"/>
    </row>
    <row r="166" spans="1:3" x14ac:dyDescent="0.25">
      <c r="A166" s="9"/>
      <c r="B166" s="9"/>
      <c r="C166" s="9"/>
    </row>
    <row r="167" spans="1:3" x14ac:dyDescent="0.25">
      <c r="A167" s="9"/>
      <c r="B167" s="9"/>
      <c r="C167" s="9"/>
    </row>
    <row r="168" spans="1:3" x14ac:dyDescent="0.25">
      <c r="A168" s="9"/>
      <c r="B168" s="9"/>
      <c r="C168" s="9"/>
    </row>
    <row r="169" spans="1:3" x14ac:dyDescent="0.25">
      <c r="A169" s="9"/>
      <c r="B169" s="9"/>
      <c r="C169" s="9"/>
    </row>
    <row r="170" spans="1:3" x14ac:dyDescent="0.25">
      <c r="A170" s="9"/>
      <c r="B170" s="9"/>
      <c r="C170" s="9"/>
    </row>
    <row r="171" spans="1:3" x14ac:dyDescent="0.25">
      <c r="A171" s="9"/>
      <c r="B171" s="9"/>
      <c r="C171" s="9"/>
    </row>
    <row r="172" spans="1:3" x14ac:dyDescent="0.25">
      <c r="A172" s="9"/>
      <c r="B172" s="9"/>
      <c r="C172" s="9"/>
    </row>
    <row r="173" spans="1:3" x14ac:dyDescent="0.25">
      <c r="A173" s="9"/>
      <c r="B173" s="9"/>
      <c r="C173" s="9"/>
    </row>
    <row r="174" spans="1:3" x14ac:dyDescent="0.25">
      <c r="A174" s="9"/>
      <c r="B174" s="9"/>
      <c r="C174" s="9"/>
    </row>
    <row r="175" spans="1:3" x14ac:dyDescent="0.25">
      <c r="A175" s="9"/>
      <c r="B175" s="9"/>
      <c r="C175" s="9"/>
    </row>
    <row r="176" spans="1:3" x14ac:dyDescent="0.25">
      <c r="A176" s="9"/>
      <c r="B176" s="9"/>
      <c r="C176" s="9"/>
    </row>
    <row r="177" spans="1:3" x14ac:dyDescent="0.25">
      <c r="A177" s="9"/>
      <c r="B177" s="9"/>
      <c r="C177" s="9"/>
    </row>
    <row r="178" spans="1:3" x14ac:dyDescent="0.25">
      <c r="A178" s="9"/>
      <c r="B178" s="9"/>
      <c r="C178" s="9"/>
    </row>
    <row r="179" spans="1:3" x14ac:dyDescent="0.25">
      <c r="A179" s="9"/>
      <c r="B179" s="9"/>
      <c r="C179" s="9"/>
    </row>
    <row r="180" spans="1:3" x14ac:dyDescent="0.25">
      <c r="A180" s="9"/>
      <c r="B180" s="9"/>
      <c r="C180" s="9"/>
    </row>
    <row r="181" spans="1:3" x14ac:dyDescent="0.25">
      <c r="A181" s="9"/>
      <c r="B181" s="9"/>
      <c r="C181" s="9"/>
    </row>
    <row r="182" spans="1:3" x14ac:dyDescent="0.25">
      <c r="A182" s="9"/>
      <c r="B182" s="9"/>
      <c r="C182" s="9"/>
    </row>
    <row r="183" spans="1:3" x14ac:dyDescent="0.25">
      <c r="A183" s="9"/>
      <c r="B183" s="9"/>
      <c r="C183" s="9"/>
    </row>
    <row r="184" spans="1:3" x14ac:dyDescent="0.25">
      <c r="A184" s="9"/>
      <c r="B184" s="9"/>
      <c r="C184" s="9"/>
    </row>
    <row r="185" spans="1:3" x14ac:dyDescent="0.25">
      <c r="A185" s="9"/>
      <c r="B185" s="9"/>
      <c r="C185" s="9"/>
    </row>
    <row r="186" spans="1:3" x14ac:dyDescent="0.25">
      <c r="A186" s="9"/>
      <c r="B186" s="9"/>
      <c r="C186" s="9"/>
    </row>
    <row r="187" spans="1:3" x14ac:dyDescent="0.25">
      <c r="A187" s="9"/>
      <c r="B187" s="9"/>
      <c r="C187" s="9"/>
    </row>
    <row r="188" spans="1:3" x14ac:dyDescent="0.25">
      <c r="A188" s="9"/>
      <c r="B188" s="9"/>
      <c r="C188" s="9"/>
    </row>
    <row r="189" spans="1:3" x14ac:dyDescent="0.25">
      <c r="A189" s="9"/>
      <c r="B189" s="9"/>
      <c r="C189" s="9"/>
    </row>
    <row r="190" spans="1:3" x14ac:dyDescent="0.25">
      <c r="A190" s="9"/>
      <c r="B190" s="9"/>
      <c r="C190" s="9"/>
    </row>
    <row r="191" spans="1:3" x14ac:dyDescent="0.25">
      <c r="A191" s="9"/>
      <c r="B191" s="9"/>
      <c r="C191" s="9"/>
    </row>
    <row r="192" spans="1:3" x14ac:dyDescent="0.25">
      <c r="A192" s="9"/>
      <c r="B192" s="9"/>
      <c r="C192" s="9"/>
    </row>
    <row r="193" spans="1:3" x14ac:dyDescent="0.25">
      <c r="A193" s="9"/>
      <c r="B193" s="9"/>
      <c r="C193" s="9"/>
    </row>
    <row r="194" spans="1:3" x14ac:dyDescent="0.25">
      <c r="A194" s="9"/>
      <c r="B194" s="9"/>
      <c r="C194" s="9"/>
    </row>
    <row r="195" spans="1:3" x14ac:dyDescent="0.25">
      <c r="A195" s="9"/>
      <c r="B195" s="9"/>
      <c r="C195" s="9"/>
    </row>
    <row r="196" spans="1:3" x14ac:dyDescent="0.25">
      <c r="A196" s="9"/>
      <c r="B196" s="9"/>
      <c r="C196" s="9"/>
    </row>
    <row r="197" spans="1:3" x14ac:dyDescent="0.25">
      <c r="A197" s="9"/>
      <c r="B197" s="9"/>
      <c r="C197" s="9"/>
    </row>
    <row r="198" spans="1:3" x14ac:dyDescent="0.25">
      <c r="A198" s="9"/>
      <c r="B198" s="9"/>
      <c r="C198" s="9"/>
    </row>
    <row r="199" spans="1:3" x14ac:dyDescent="0.25">
      <c r="A199" s="9"/>
      <c r="B199" s="9"/>
      <c r="C199" s="9"/>
    </row>
    <row r="200" spans="1:3" x14ac:dyDescent="0.25">
      <c r="A200" s="9"/>
      <c r="B200" s="9"/>
      <c r="C200" s="9"/>
    </row>
    <row r="201" spans="1:3" x14ac:dyDescent="0.25">
      <c r="A201" s="9"/>
      <c r="B201" s="9"/>
      <c r="C201" s="9"/>
    </row>
    <row r="202" spans="1:3" x14ac:dyDescent="0.25">
      <c r="A202" s="9"/>
      <c r="B202" s="9"/>
      <c r="C202" s="9"/>
    </row>
    <row r="203" spans="1:3" x14ac:dyDescent="0.25">
      <c r="A203" s="9"/>
      <c r="B203" s="9"/>
      <c r="C203" s="9"/>
    </row>
    <row r="204" spans="1:3" x14ac:dyDescent="0.25">
      <c r="A204" s="9"/>
      <c r="B204" s="9"/>
      <c r="C204" s="9"/>
    </row>
    <row r="205" spans="1:3" x14ac:dyDescent="0.25">
      <c r="A205" s="9"/>
      <c r="B205" s="9"/>
      <c r="C205" s="9"/>
    </row>
    <row r="206" spans="1:3" x14ac:dyDescent="0.25">
      <c r="A206" s="9"/>
      <c r="B206" s="9"/>
      <c r="C206" s="9"/>
    </row>
    <row r="207" spans="1:3" x14ac:dyDescent="0.25">
      <c r="A207" s="9"/>
      <c r="B207" s="9"/>
      <c r="C207" s="9"/>
    </row>
    <row r="208" spans="1:3" x14ac:dyDescent="0.25">
      <c r="A208" s="9"/>
      <c r="B208" s="9"/>
      <c r="C208" s="9"/>
    </row>
    <row r="209" spans="1:3" x14ac:dyDescent="0.25">
      <c r="A209" s="9"/>
      <c r="B209" s="9"/>
      <c r="C209" s="9"/>
    </row>
    <row r="210" spans="1:3" x14ac:dyDescent="0.25">
      <c r="A210" s="9"/>
      <c r="B210" s="9"/>
      <c r="C210" s="9"/>
    </row>
    <row r="211" spans="1:3" x14ac:dyDescent="0.25">
      <c r="A211" s="9"/>
      <c r="B211" s="9"/>
      <c r="C211" s="9"/>
    </row>
    <row r="212" spans="1:3" x14ac:dyDescent="0.25">
      <c r="A212" s="9"/>
      <c r="B212" s="9"/>
      <c r="C212" s="9"/>
    </row>
    <row r="213" spans="1:3" x14ac:dyDescent="0.25">
      <c r="A213" s="9"/>
      <c r="B213" s="9"/>
      <c r="C213" s="9"/>
    </row>
    <row r="214" spans="1:3" x14ac:dyDescent="0.25">
      <c r="A214" s="9"/>
      <c r="B214" s="9"/>
      <c r="C214" s="9"/>
    </row>
    <row r="215" spans="1:3" x14ac:dyDescent="0.25">
      <c r="A215" s="9"/>
      <c r="B215" s="9"/>
      <c r="C215" s="9"/>
    </row>
    <row r="216" spans="1:3" x14ac:dyDescent="0.25">
      <c r="A216" s="9"/>
      <c r="B216" s="9"/>
      <c r="C216" s="9"/>
    </row>
    <row r="217" spans="1:3" x14ac:dyDescent="0.25">
      <c r="A217" s="9"/>
      <c r="B217" s="9"/>
      <c r="C217" s="9"/>
    </row>
    <row r="218" spans="1:3" x14ac:dyDescent="0.25">
      <c r="A218" s="9"/>
      <c r="B218" s="9"/>
      <c r="C218" s="9"/>
    </row>
    <row r="219" spans="1:3" x14ac:dyDescent="0.25">
      <c r="A219" s="9"/>
      <c r="B219" s="9"/>
      <c r="C219" s="9"/>
    </row>
    <row r="220" spans="1:3" x14ac:dyDescent="0.25">
      <c r="A220" s="9"/>
      <c r="B220" s="9"/>
      <c r="C220" s="9"/>
    </row>
    <row r="221" spans="1:3" x14ac:dyDescent="0.25">
      <c r="A221" s="9"/>
      <c r="B221" s="9"/>
      <c r="C221" s="9"/>
    </row>
    <row r="222" spans="1:3" x14ac:dyDescent="0.25">
      <c r="A222" s="9"/>
      <c r="B222" s="9"/>
      <c r="C222" s="9"/>
    </row>
    <row r="223" spans="1:3" x14ac:dyDescent="0.25">
      <c r="A223" s="9"/>
      <c r="B223" s="9"/>
      <c r="C223" s="9"/>
    </row>
    <row r="224" spans="1:3" x14ac:dyDescent="0.25">
      <c r="A224" s="9"/>
      <c r="B224" s="9"/>
      <c r="C224" s="9"/>
    </row>
    <row r="225" spans="1:3" x14ac:dyDescent="0.25">
      <c r="A225" s="9"/>
      <c r="B225" s="9"/>
      <c r="C225" s="9"/>
    </row>
    <row r="226" spans="1:3" x14ac:dyDescent="0.25">
      <c r="A226" s="9"/>
      <c r="B226" s="9"/>
      <c r="C226" s="9"/>
    </row>
    <row r="227" spans="1:3" x14ac:dyDescent="0.25">
      <c r="A227" s="9"/>
      <c r="B227" s="9"/>
      <c r="C227" s="9"/>
    </row>
    <row r="228" spans="1:3" x14ac:dyDescent="0.25">
      <c r="A228" s="9"/>
      <c r="B228" s="9"/>
      <c r="C228" s="9"/>
    </row>
    <row r="229" spans="1:3" x14ac:dyDescent="0.25">
      <c r="A229" s="9"/>
      <c r="B229" s="9"/>
      <c r="C229" s="9"/>
    </row>
    <row r="230" spans="1:3" x14ac:dyDescent="0.25">
      <c r="A230" s="9"/>
      <c r="B230" s="9"/>
      <c r="C230" s="9"/>
    </row>
    <row r="231" spans="1:3" x14ac:dyDescent="0.25">
      <c r="A231" s="9"/>
      <c r="B231" s="9"/>
      <c r="C231" s="9"/>
    </row>
    <row r="232" spans="1:3" x14ac:dyDescent="0.25">
      <c r="A232" s="9"/>
      <c r="B232" s="9"/>
      <c r="C232" s="9"/>
    </row>
    <row r="233" spans="1:3" x14ac:dyDescent="0.25">
      <c r="A233" s="9"/>
      <c r="B233" s="9"/>
      <c r="C233" s="9"/>
    </row>
    <row r="234" spans="1:3" x14ac:dyDescent="0.25">
      <c r="A234" s="9"/>
      <c r="B234" s="9"/>
      <c r="C234" s="9"/>
    </row>
    <row r="235" spans="1:3" x14ac:dyDescent="0.25">
      <c r="A235" s="9"/>
      <c r="B235" s="9"/>
      <c r="C235" s="9"/>
    </row>
    <row r="236" spans="1:3" x14ac:dyDescent="0.25">
      <c r="A236" s="9"/>
      <c r="B236" s="9"/>
      <c r="C236" s="9"/>
    </row>
    <row r="237" spans="1:3" x14ac:dyDescent="0.25">
      <c r="A237" s="9"/>
      <c r="B237" s="9"/>
      <c r="C237" s="9"/>
    </row>
    <row r="238" spans="1:3" x14ac:dyDescent="0.25">
      <c r="A238" s="9"/>
      <c r="B238" s="9"/>
      <c r="C238" s="9"/>
    </row>
    <row r="239" spans="1:3" x14ac:dyDescent="0.25">
      <c r="A239" s="9"/>
      <c r="B239" s="9"/>
      <c r="C239" s="9"/>
    </row>
    <row r="240" spans="1:3" x14ac:dyDescent="0.25">
      <c r="A240" s="9"/>
      <c r="B240" s="9"/>
      <c r="C240" s="9"/>
    </row>
    <row r="241" spans="1:3" x14ac:dyDescent="0.25">
      <c r="A241" s="9"/>
      <c r="B241" s="9"/>
      <c r="C241" s="9"/>
    </row>
    <row r="242" spans="1:3" x14ac:dyDescent="0.25">
      <c r="A242" s="9"/>
      <c r="B242" s="9"/>
      <c r="C242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242"/>
  <sheetViews>
    <sheetView topLeftCell="A107" zoomScale="80" zoomScaleNormal="80" workbookViewId="0">
      <selection activeCell="B140" sqref="B1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0" t="s">
        <v>221</v>
      </c>
      <c r="C4" s="10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  <row r="9" spans="1:3" x14ac:dyDescent="0.25">
      <c r="A9">
        <v>6</v>
      </c>
      <c r="B9" t="s">
        <v>221</v>
      </c>
      <c r="C9" t="s">
        <v>221</v>
      </c>
    </row>
    <row r="10" spans="1:3" x14ac:dyDescent="0.25">
      <c r="A10">
        <v>7</v>
      </c>
      <c r="B10" t="s">
        <v>221</v>
      </c>
      <c r="C10" t="s">
        <v>221</v>
      </c>
    </row>
    <row r="11" spans="1:3" x14ac:dyDescent="0.25">
      <c r="A11">
        <v>8</v>
      </c>
      <c r="B11" t="s">
        <v>221</v>
      </c>
      <c r="C11" t="s">
        <v>221</v>
      </c>
    </row>
    <row r="12" spans="1:3" x14ac:dyDescent="0.25">
      <c r="A12">
        <v>9</v>
      </c>
      <c r="B12" t="s">
        <v>221</v>
      </c>
      <c r="C12" t="s">
        <v>221</v>
      </c>
    </row>
    <row r="13" spans="1:3" x14ac:dyDescent="0.25">
      <c r="A13">
        <v>10</v>
      </c>
      <c r="B13" t="s">
        <v>221</v>
      </c>
      <c r="C13" t="s">
        <v>221</v>
      </c>
    </row>
    <row r="14" spans="1:3" x14ac:dyDescent="0.25">
      <c r="A14">
        <v>11</v>
      </c>
      <c r="B14" t="s">
        <v>221</v>
      </c>
      <c r="C14" t="s">
        <v>221</v>
      </c>
    </row>
    <row r="15" spans="1:3" x14ac:dyDescent="0.25">
      <c r="A15">
        <v>12</v>
      </c>
      <c r="B15" t="s">
        <v>221</v>
      </c>
      <c r="C15" t="s">
        <v>221</v>
      </c>
    </row>
    <row r="16" spans="1:3" x14ac:dyDescent="0.25">
      <c r="A16">
        <v>13</v>
      </c>
      <c r="B16" t="s">
        <v>221</v>
      </c>
      <c r="C16" t="s">
        <v>221</v>
      </c>
    </row>
    <row r="17" spans="1:3" x14ac:dyDescent="0.25">
      <c r="A17">
        <v>14</v>
      </c>
      <c r="B17" t="s">
        <v>221</v>
      </c>
      <c r="C17" t="s">
        <v>221</v>
      </c>
    </row>
    <row r="18" spans="1:3" x14ac:dyDescent="0.25">
      <c r="A18">
        <v>15</v>
      </c>
      <c r="B18" t="s">
        <v>221</v>
      </c>
      <c r="C18" t="s">
        <v>221</v>
      </c>
    </row>
    <row r="19" spans="1:3" x14ac:dyDescent="0.25">
      <c r="A19">
        <v>16</v>
      </c>
      <c r="B19" t="s">
        <v>221</v>
      </c>
      <c r="C19" t="s">
        <v>221</v>
      </c>
    </row>
    <row r="20" spans="1:3" x14ac:dyDescent="0.25">
      <c r="A20">
        <v>17</v>
      </c>
      <c r="B20" t="s">
        <v>221</v>
      </c>
      <c r="C20" t="s">
        <v>221</v>
      </c>
    </row>
    <row r="21" spans="1:3" x14ac:dyDescent="0.25">
      <c r="A21">
        <v>18</v>
      </c>
      <c r="B21" t="s">
        <v>221</v>
      </c>
      <c r="C21" t="s">
        <v>221</v>
      </c>
    </row>
    <row r="22" spans="1:3" x14ac:dyDescent="0.25">
      <c r="A22">
        <v>19</v>
      </c>
      <c r="B22" t="s">
        <v>221</v>
      </c>
      <c r="C22" t="s">
        <v>221</v>
      </c>
    </row>
    <row r="23" spans="1:3" x14ac:dyDescent="0.25">
      <c r="A23">
        <v>20</v>
      </c>
      <c r="B23" t="s">
        <v>221</v>
      </c>
      <c r="C23" t="s">
        <v>221</v>
      </c>
    </row>
    <row r="24" spans="1:3" x14ac:dyDescent="0.25">
      <c r="A24">
        <v>21</v>
      </c>
      <c r="B24" t="s">
        <v>221</v>
      </c>
      <c r="C24" t="s">
        <v>221</v>
      </c>
    </row>
    <row r="25" spans="1:3" x14ac:dyDescent="0.25">
      <c r="A25">
        <v>22</v>
      </c>
      <c r="B25" t="s">
        <v>221</v>
      </c>
      <c r="C25" t="s">
        <v>221</v>
      </c>
    </row>
    <row r="26" spans="1:3" x14ac:dyDescent="0.25">
      <c r="A26">
        <v>23</v>
      </c>
      <c r="B26" t="s">
        <v>221</v>
      </c>
      <c r="C26" t="s">
        <v>221</v>
      </c>
    </row>
    <row r="27" spans="1:3" x14ac:dyDescent="0.25">
      <c r="A27">
        <v>24</v>
      </c>
      <c r="B27" t="s">
        <v>221</v>
      </c>
      <c r="C27" t="s">
        <v>221</v>
      </c>
    </row>
    <row r="28" spans="1:3" x14ac:dyDescent="0.25">
      <c r="A28">
        <v>25</v>
      </c>
      <c r="B28" t="s">
        <v>221</v>
      </c>
      <c r="C28" t="s">
        <v>221</v>
      </c>
    </row>
    <row r="29" spans="1:3" x14ac:dyDescent="0.25">
      <c r="A29">
        <v>26</v>
      </c>
      <c r="B29" t="s">
        <v>221</v>
      </c>
      <c r="C29" t="s">
        <v>221</v>
      </c>
    </row>
    <row r="30" spans="1:3" x14ac:dyDescent="0.25">
      <c r="A30">
        <v>27</v>
      </c>
      <c r="B30" t="s">
        <v>221</v>
      </c>
      <c r="C30" t="s">
        <v>221</v>
      </c>
    </row>
    <row r="31" spans="1:3" x14ac:dyDescent="0.25">
      <c r="A31">
        <v>28</v>
      </c>
      <c r="B31" t="s">
        <v>221</v>
      </c>
      <c r="C31" t="s">
        <v>221</v>
      </c>
    </row>
    <row r="32" spans="1:3" x14ac:dyDescent="0.25">
      <c r="A32">
        <v>29</v>
      </c>
      <c r="B32" t="s">
        <v>221</v>
      </c>
      <c r="C32" t="s">
        <v>221</v>
      </c>
    </row>
    <row r="33" spans="1:3" x14ac:dyDescent="0.25">
      <c r="A33">
        <v>30</v>
      </c>
      <c r="B33" t="s">
        <v>221</v>
      </c>
      <c r="C33" t="s">
        <v>221</v>
      </c>
    </row>
    <row r="34" spans="1:3" x14ac:dyDescent="0.25">
      <c r="A34">
        <v>31</v>
      </c>
      <c r="B34" t="s">
        <v>221</v>
      </c>
      <c r="C34" t="s">
        <v>221</v>
      </c>
    </row>
    <row r="35" spans="1:3" x14ac:dyDescent="0.25">
      <c r="A35">
        <v>32</v>
      </c>
      <c r="B35" t="s">
        <v>221</v>
      </c>
      <c r="C35" t="s">
        <v>221</v>
      </c>
    </row>
    <row r="36" spans="1:3" x14ac:dyDescent="0.25">
      <c r="A36">
        <v>33</v>
      </c>
      <c r="B36" t="s">
        <v>221</v>
      </c>
      <c r="C36" t="s">
        <v>221</v>
      </c>
    </row>
    <row r="37" spans="1:3" x14ac:dyDescent="0.25">
      <c r="A37">
        <v>34</v>
      </c>
      <c r="B37" t="s">
        <v>221</v>
      </c>
      <c r="C37" t="s">
        <v>221</v>
      </c>
    </row>
    <row r="38" spans="1:3" x14ac:dyDescent="0.25">
      <c r="A38">
        <v>35</v>
      </c>
      <c r="B38" t="s">
        <v>221</v>
      </c>
      <c r="C38" t="s">
        <v>221</v>
      </c>
    </row>
    <row r="39" spans="1:3" x14ac:dyDescent="0.25">
      <c r="A39">
        <v>36</v>
      </c>
      <c r="B39" t="s">
        <v>221</v>
      </c>
      <c r="C39" t="s">
        <v>221</v>
      </c>
    </row>
    <row r="40" spans="1:3" x14ac:dyDescent="0.25">
      <c r="A40">
        <v>37</v>
      </c>
      <c r="B40" t="s">
        <v>221</v>
      </c>
      <c r="C40" t="s">
        <v>221</v>
      </c>
    </row>
    <row r="41" spans="1:3" x14ac:dyDescent="0.25">
      <c r="A41">
        <v>38</v>
      </c>
      <c r="B41" t="s">
        <v>221</v>
      </c>
      <c r="C41" t="s">
        <v>221</v>
      </c>
    </row>
    <row r="42" spans="1:3" x14ac:dyDescent="0.25">
      <c r="A42">
        <v>39</v>
      </c>
      <c r="B42" t="s">
        <v>221</v>
      </c>
      <c r="C42" t="s">
        <v>221</v>
      </c>
    </row>
    <row r="43" spans="1:3" x14ac:dyDescent="0.25">
      <c r="A43">
        <v>40</v>
      </c>
      <c r="B43" t="s">
        <v>221</v>
      </c>
      <c r="C43" t="s">
        <v>221</v>
      </c>
    </row>
    <row r="44" spans="1:3" x14ac:dyDescent="0.25">
      <c r="A44">
        <v>41</v>
      </c>
      <c r="B44" t="s">
        <v>221</v>
      </c>
      <c r="C44" t="s">
        <v>221</v>
      </c>
    </row>
    <row r="45" spans="1:3" x14ac:dyDescent="0.25">
      <c r="A45">
        <v>42</v>
      </c>
      <c r="B45" t="s">
        <v>221</v>
      </c>
      <c r="C45" t="s">
        <v>221</v>
      </c>
    </row>
    <row r="46" spans="1:3" x14ac:dyDescent="0.25">
      <c r="A46">
        <v>43</v>
      </c>
      <c r="B46" t="s">
        <v>221</v>
      </c>
      <c r="C46" t="s">
        <v>221</v>
      </c>
    </row>
    <row r="47" spans="1:3" x14ac:dyDescent="0.25">
      <c r="A47">
        <v>44</v>
      </c>
      <c r="B47" t="s">
        <v>221</v>
      </c>
      <c r="C47" t="s">
        <v>221</v>
      </c>
    </row>
    <row r="48" spans="1:3" x14ac:dyDescent="0.25">
      <c r="A48">
        <v>45</v>
      </c>
      <c r="B48" t="s">
        <v>221</v>
      </c>
      <c r="C48" t="s">
        <v>221</v>
      </c>
    </row>
    <row r="49" spans="1:3" x14ac:dyDescent="0.25">
      <c r="A49">
        <v>46</v>
      </c>
      <c r="B49" t="s">
        <v>221</v>
      </c>
      <c r="C49" t="s">
        <v>221</v>
      </c>
    </row>
    <row r="50" spans="1:3" x14ac:dyDescent="0.25">
      <c r="A50">
        <v>47</v>
      </c>
      <c r="B50" t="s">
        <v>221</v>
      </c>
      <c r="C50" t="s">
        <v>221</v>
      </c>
    </row>
    <row r="51" spans="1:3" x14ac:dyDescent="0.25">
      <c r="A51">
        <v>48</v>
      </c>
      <c r="B51" t="s">
        <v>221</v>
      </c>
      <c r="C51" t="s">
        <v>221</v>
      </c>
    </row>
    <row r="52" spans="1:3" x14ac:dyDescent="0.25">
      <c r="A52">
        <v>49</v>
      </c>
      <c r="B52" t="s">
        <v>221</v>
      </c>
      <c r="C52" t="s">
        <v>221</v>
      </c>
    </row>
    <row r="53" spans="1:3" x14ac:dyDescent="0.25">
      <c r="A53">
        <v>50</v>
      </c>
      <c r="B53" t="s">
        <v>221</v>
      </c>
      <c r="C53" t="s">
        <v>221</v>
      </c>
    </row>
    <row r="54" spans="1:3" x14ac:dyDescent="0.25">
      <c r="A54">
        <v>51</v>
      </c>
      <c r="B54" t="s">
        <v>221</v>
      </c>
      <c r="C54" t="s">
        <v>221</v>
      </c>
    </row>
    <row r="55" spans="1:3" x14ac:dyDescent="0.25">
      <c r="A55">
        <v>52</v>
      </c>
      <c r="B55" t="s">
        <v>221</v>
      </c>
      <c r="C55" t="s">
        <v>221</v>
      </c>
    </row>
    <row r="56" spans="1:3" x14ac:dyDescent="0.25">
      <c r="A56">
        <v>53</v>
      </c>
      <c r="B56" t="s">
        <v>221</v>
      </c>
      <c r="C56" t="s">
        <v>221</v>
      </c>
    </row>
    <row r="57" spans="1:3" x14ac:dyDescent="0.25">
      <c r="A57">
        <v>54</v>
      </c>
      <c r="B57" t="s">
        <v>221</v>
      </c>
      <c r="C57" t="s">
        <v>221</v>
      </c>
    </row>
    <row r="58" spans="1:3" x14ac:dyDescent="0.25">
      <c r="A58">
        <v>55</v>
      </c>
      <c r="B58" t="s">
        <v>221</v>
      </c>
      <c r="C58" t="s">
        <v>221</v>
      </c>
    </row>
    <row r="59" spans="1:3" x14ac:dyDescent="0.25">
      <c r="A59">
        <v>56</v>
      </c>
      <c r="B59" t="s">
        <v>221</v>
      </c>
      <c r="C59" t="s">
        <v>221</v>
      </c>
    </row>
    <row r="60" spans="1:3" x14ac:dyDescent="0.25">
      <c r="A60">
        <v>57</v>
      </c>
      <c r="B60" t="s">
        <v>221</v>
      </c>
      <c r="C60" t="s">
        <v>221</v>
      </c>
    </row>
    <row r="61" spans="1:3" x14ac:dyDescent="0.25">
      <c r="A61">
        <v>58</v>
      </c>
      <c r="B61" t="s">
        <v>221</v>
      </c>
      <c r="C61" t="s">
        <v>221</v>
      </c>
    </row>
    <row r="62" spans="1:3" x14ac:dyDescent="0.25">
      <c r="A62">
        <v>59</v>
      </c>
      <c r="B62" t="s">
        <v>221</v>
      </c>
      <c r="C62" t="s">
        <v>221</v>
      </c>
    </row>
    <row r="63" spans="1:3" s="11" customFormat="1" x14ac:dyDescent="0.25">
      <c r="A63" s="11">
        <v>60</v>
      </c>
      <c r="B63" s="11" t="s">
        <v>221</v>
      </c>
      <c r="C63" s="11" t="s">
        <v>221</v>
      </c>
    </row>
    <row r="64" spans="1:3" s="11" customFormat="1" x14ac:dyDescent="0.25">
      <c r="A64" s="11">
        <v>61</v>
      </c>
      <c r="B64" s="11" t="s">
        <v>221</v>
      </c>
      <c r="C64" s="11" t="s">
        <v>221</v>
      </c>
    </row>
    <row r="65" spans="1:3" s="11" customFormat="1" x14ac:dyDescent="0.25">
      <c r="A65" s="11">
        <v>62</v>
      </c>
      <c r="B65" s="11" t="s">
        <v>221</v>
      </c>
      <c r="C65" s="11" t="s">
        <v>221</v>
      </c>
    </row>
    <row r="66" spans="1:3" s="11" customFormat="1" x14ac:dyDescent="0.25">
      <c r="A66" s="11">
        <v>63</v>
      </c>
      <c r="B66" s="11" t="s">
        <v>221</v>
      </c>
      <c r="C66" s="11" t="s">
        <v>221</v>
      </c>
    </row>
    <row r="67" spans="1:3" s="11" customFormat="1" x14ac:dyDescent="0.25">
      <c r="A67" s="11">
        <v>64</v>
      </c>
      <c r="B67" s="11" t="s">
        <v>221</v>
      </c>
      <c r="C67" s="11" t="s">
        <v>221</v>
      </c>
    </row>
    <row r="68" spans="1:3" s="11" customFormat="1" x14ac:dyDescent="0.25">
      <c r="A68" s="11">
        <v>65</v>
      </c>
      <c r="B68" s="11" t="s">
        <v>221</v>
      </c>
      <c r="C68" s="11" t="s">
        <v>221</v>
      </c>
    </row>
    <row r="69" spans="1:3" s="11" customFormat="1" x14ac:dyDescent="0.25">
      <c r="A69" s="11">
        <v>66</v>
      </c>
      <c r="B69" s="11" t="s">
        <v>221</v>
      </c>
      <c r="C69" s="11" t="s">
        <v>221</v>
      </c>
    </row>
    <row r="70" spans="1:3" s="11" customFormat="1" x14ac:dyDescent="0.25">
      <c r="A70" s="11">
        <v>67</v>
      </c>
      <c r="B70" s="11" t="s">
        <v>221</v>
      </c>
      <c r="C70" s="11" t="s">
        <v>221</v>
      </c>
    </row>
    <row r="71" spans="1:3" s="8" customFormat="1" x14ac:dyDescent="0.25">
      <c r="A71" s="8">
        <v>1</v>
      </c>
      <c r="B71" s="8" t="s">
        <v>221</v>
      </c>
      <c r="C71" s="8" t="s">
        <v>221</v>
      </c>
    </row>
    <row r="72" spans="1:3" x14ac:dyDescent="0.25">
      <c r="A72" s="4">
        <v>2</v>
      </c>
      <c r="B72" s="4" t="s">
        <v>221</v>
      </c>
      <c r="C72" s="4" t="s">
        <v>221</v>
      </c>
    </row>
    <row r="73" spans="1:3" x14ac:dyDescent="0.25">
      <c r="A73" s="4">
        <v>3</v>
      </c>
      <c r="B73" s="4" t="s">
        <v>221</v>
      </c>
      <c r="C73" s="4" t="s">
        <v>221</v>
      </c>
    </row>
    <row r="74" spans="1:3" x14ac:dyDescent="0.25">
      <c r="A74" s="4">
        <v>4</v>
      </c>
      <c r="B74" s="4" t="s">
        <v>221</v>
      </c>
      <c r="C74" s="4" t="s">
        <v>221</v>
      </c>
    </row>
    <row r="75" spans="1:3" x14ac:dyDescent="0.25">
      <c r="A75" s="4">
        <v>5</v>
      </c>
      <c r="B75" s="4" t="s">
        <v>221</v>
      </c>
      <c r="C75" s="4" t="s">
        <v>221</v>
      </c>
    </row>
    <row r="76" spans="1:3" x14ac:dyDescent="0.25">
      <c r="A76" s="4">
        <v>6</v>
      </c>
      <c r="B76" s="4" t="s">
        <v>221</v>
      </c>
      <c r="C76" s="4" t="s">
        <v>221</v>
      </c>
    </row>
    <row r="77" spans="1:3" x14ac:dyDescent="0.25">
      <c r="A77" s="4">
        <v>7</v>
      </c>
      <c r="B77" s="4" t="s">
        <v>221</v>
      </c>
      <c r="C77" s="4" t="s">
        <v>221</v>
      </c>
    </row>
    <row r="78" spans="1:3" x14ac:dyDescent="0.25">
      <c r="A78" s="4">
        <v>8</v>
      </c>
      <c r="B78" s="4" t="s">
        <v>221</v>
      </c>
      <c r="C78" s="4" t="s">
        <v>221</v>
      </c>
    </row>
    <row r="79" spans="1:3" x14ac:dyDescent="0.25">
      <c r="A79" s="4">
        <v>9</v>
      </c>
      <c r="B79" s="4" t="s">
        <v>221</v>
      </c>
      <c r="C79" s="4" t="s">
        <v>221</v>
      </c>
    </row>
    <row r="80" spans="1:3" x14ac:dyDescent="0.25">
      <c r="A80" s="4">
        <v>10</v>
      </c>
      <c r="B80" s="4" t="s">
        <v>221</v>
      </c>
      <c r="C80" s="4" t="s">
        <v>221</v>
      </c>
    </row>
    <row r="81" spans="1:3" x14ac:dyDescent="0.25">
      <c r="A81" s="4">
        <v>11</v>
      </c>
      <c r="B81" s="4" t="s">
        <v>221</v>
      </c>
      <c r="C81" s="4" t="s">
        <v>221</v>
      </c>
    </row>
    <row r="82" spans="1:3" x14ac:dyDescent="0.25">
      <c r="A82" s="4">
        <v>12</v>
      </c>
      <c r="B82" s="4" t="s">
        <v>221</v>
      </c>
      <c r="C82" s="4" t="s">
        <v>221</v>
      </c>
    </row>
    <row r="83" spans="1:3" x14ac:dyDescent="0.25">
      <c r="A83" s="4">
        <v>13</v>
      </c>
      <c r="B83" s="4" t="s">
        <v>221</v>
      </c>
      <c r="C83" s="4" t="s">
        <v>221</v>
      </c>
    </row>
    <row r="84" spans="1:3" x14ac:dyDescent="0.25">
      <c r="A84" s="4">
        <v>14</v>
      </c>
      <c r="B84" s="4" t="s">
        <v>221</v>
      </c>
      <c r="C84" s="4" t="s">
        <v>221</v>
      </c>
    </row>
    <row r="85" spans="1:3" x14ac:dyDescent="0.25">
      <c r="A85" s="4">
        <v>15</v>
      </c>
      <c r="B85" s="4" t="s">
        <v>221</v>
      </c>
      <c r="C85" s="4" t="s">
        <v>221</v>
      </c>
    </row>
    <row r="86" spans="1:3" x14ac:dyDescent="0.25">
      <c r="A86" s="4">
        <v>16</v>
      </c>
      <c r="B86" s="4" t="s">
        <v>221</v>
      </c>
      <c r="C86" s="4" t="s">
        <v>221</v>
      </c>
    </row>
    <row r="87" spans="1:3" x14ac:dyDescent="0.25">
      <c r="A87" s="4">
        <v>17</v>
      </c>
      <c r="B87" s="4" t="s">
        <v>221</v>
      </c>
      <c r="C87" s="4" t="s">
        <v>221</v>
      </c>
    </row>
    <row r="88" spans="1:3" x14ac:dyDescent="0.25">
      <c r="A88" s="4">
        <v>18</v>
      </c>
      <c r="B88" s="4" t="s">
        <v>221</v>
      </c>
      <c r="C88" s="4" t="s">
        <v>221</v>
      </c>
    </row>
    <row r="89" spans="1:3" x14ac:dyDescent="0.25">
      <c r="A89" s="4">
        <v>19</v>
      </c>
      <c r="B89" s="4" t="s">
        <v>221</v>
      </c>
      <c r="C89" s="4" t="s">
        <v>221</v>
      </c>
    </row>
    <row r="90" spans="1:3" x14ac:dyDescent="0.25">
      <c r="A90" s="4">
        <v>20</v>
      </c>
      <c r="B90" s="4" t="s">
        <v>221</v>
      </c>
      <c r="C90" s="4" t="s">
        <v>221</v>
      </c>
    </row>
    <row r="91" spans="1:3" x14ac:dyDescent="0.25">
      <c r="A91" s="4">
        <v>21</v>
      </c>
      <c r="B91" s="4" t="s">
        <v>221</v>
      </c>
      <c r="C91" s="4" t="s">
        <v>221</v>
      </c>
    </row>
    <row r="92" spans="1:3" x14ac:dyDescent="0.25">
      <c r="A92" s="4">
        <v>22</v>
      </c>
      <c r="B92" s="4" t="s">
        <v>221</v>
      </c>
      <c r="C92" s="4" t="s">
        <v>221</v>
      </c>
    </row>
    <row r="93" spans="1:3" x14ac:dyDescent="0.25">
      <c r="A93" s="4">
        <v>23</v>
      </c>
      <c r="B93" s="4" t="s">
        <v>221</v>
      </c>
      <c r="C93" s="4" t="s">
        <v>221</v>
      </c>
    </row>
    <row r="94" spans="1:3" x14ac:dyDescent="0.25">
      <c r="A94" s="4">
        <v>24</v>
      </c>
      <c r="B94" s="4" t="s">
        <v>221</v>
      </c>
      <c r="C94" s="4" t="s">
        <v>221</v>
      </c>
    </row>
    <row r="95" spans="1:3" x14ac:dyDescent="0.25">
      <c r="A95" s="4">
        <v>25</v>
      </c>
      <c r="B95" s="4" t="s">
        <v>221</v>
      </c>
      <c r="C95" s="4" t="s">
        <v>221</v>
      </c>
    </row>
    <row r="96" spans="1:3" x14ac:dyDescent="0.25">
      <c r="A96" s="4">
        <v>26</v>
      </c>
      <c r="B96" s="4" t="s">
        <v>221</v>
      </c>
      <c r="C96" s="4" t="s">
        <v>221</v>
      </c>
    </row>
    <row r="97" spans="1:3" x14ac:dyDescent="0.25">
      <c r="A97" s="4">
        <v>27</v>
      </c>
      <c r="B97" s="4" t="s">
        <v>221</v>
      </c>
      <c r="C97" s="4" t="s">
        <v>221</v>
      </c>
    </row>
    <row r="98" spans="1:3" x14ac:dyDescent="0.25">
      <c r="A98" s="4">
        <v>28</v>
      </c>
      <c r="B98" s="4" t="s">
        <v>221</v>
      </c>
      <c r="C98" s="4" t="s">
        <v>221</v>
      </c>
    </row>
    <row r="99" spans="1:3" x14ac:dyDescent="0.25">
      <c r="A99" s="4">
        <v>29</v>
      </c>
      <c r="B99" s="4" t="s">
        <v>221</v>
      </c>
      <c r="C99" s="4" t="s">
        <v>221</v>
      </c>
    </row>
    <row r="100" spans="1:3" x14ac:dyDescent="0.25">
      <c r="A100" s="4">
        <v>30</v>
      </c>
      <c r="B100" s="4" t="s">
        <v>221</v>
      </c>
      <c r="C100" s="4" t="s">
        <v>221</v>
      </c>
    </row>
    <row r="101" spans="1:3" x14ac:dyDescent="0.25">
      <c r="A101" s="4">
        <v>31</v>
      </c>
      <c r="B101" s="4" t="s">
        <v>221</v>
      </c>
      <c r="C101" s="4" t="s">
        <v>221</v>
      </c>
    </row>
    <row r="102" spans="1:3" x14ac:dyDescent="0.25">
      <c r="A102" s="4">
        <v>32</v>
      </c>
      <c r="B102" s="4" t="s">
        <v>221</v>
      </c>
      <c r="C102" s="4" t="s">
        <v>221</v>
      </c>
    </row>
    <row r="103" spans="1:3" x14ac:dyDescent="0.25">
      <c r="A103" s="4">
        <v>33</v>
      </c>
      <c r="B103" s="4" t="s">
        <v>221</v>
      </c>
      <c r="C103" s="4" t="s">
        <v>221</v>
      </c>
    </row>
    <row r="104" spans="1:3" x14ac:dyDescent="0.25">
      <c r="A104" s="4">
        <v>34</v>
      </c>
      <c r="B104" s="4" t="s">
        <v>221</v>
      </c>
      <c r="C104" s="4" t="s">
        <v>221</v>
      </c>
    </row>
    <row r="105" spans="1:3" x14ac:dyDescent="0.25">
      <c r="A105" s="4">
        <v>35</v>
      </c>
      <c r="B105" s="4" t="s">
        <v>221</v>
      </c>
      <c r="C105" s="4" t="s">
        <v>221</v>
      </c>
    </row>
    <row r="106" spans="1:3" x14ac:dyDescent="0.25">
      <c r="A106" s="4">
        <v>36</v>
      </c>
      <c r="B106" s="4" t="s">
        <v>221</v>
      </c>
      <c r="C106" s="4" t="s">
        <v>221</v>
      </c>
    </row>
    <row r="107" spans="1:3" x14ac:dyDescent="0.25">
      <c r="A107" s="4">
        <v>37</v>
      </c>
      <c r="B107" s="4" t="s">
        <v>221</v>
      </c>
      <c r="C107" s="4" t="s">
        <v>221</v>
      </c>
    </row>
    <row r="108" spans="1:3" x14ac:dyDescent="0.25">
      <c r="A108" s="4">
        <v>38</v>
      </c>
      <c r="B108" s="4" t="s">
        <v>221</v>
      </c>
      <c r="C108" s="4" t="s">
        <v>221</v>
      </c>
    </row>
    <row r="109" spans="1:3" x14ac:dyDescent="0.25">
      <c r="A109" s="4">
        <v>39</v>
      </c>
      <c r="B109" s="4" t="s">
        <v>221</v>
      </c>
      <c r="C109" s="4" t="s">
        <v>221</v>
      </c>
    </row>
    <row r="110" spans="1:3" x14ac:dyDescent="0.25">
      <c r="A110" s="4">
        <v>40</v>
      </c>
      <c r="B110" s="4" t="s">
        <v>221</v>
      </c>
      <c r="C110" s="4" t="s">
        <v>221</v>
      </c>
    </row>
    <row r="111" spans="1:3" x14ac:dyDescent="0.25">
      <c r="A111" s="4">
        <v>41</v>
      </c>
      <c r="B111" s="4" t="s">
        <v>221</v>
      </c>
      <c r="C111" s="4" t="s">
        <v>221</v>
      </c>
    </row>
    <row r="112" spans="1:3" x14ac:dyDescent="0.25">
      <c r="A112" s="4">
        <v>42</v>
      </c>
      <c r="B112" s="4" t="s">
        <v>221</v>
      </c>
      <c r="C112" s="4" t="s">
        <v>221</v>
      </c>
    </row>
    <row r="113" spans="1:3" x14ac:dyDescent="0.25">
      <c r="A113" s="4">
        <v>43</v>
      </c>
      <c r="B113" s="4" t="s">
        <v>221</v>
      </c>
      <c r="C113" s="4" t="s">
        <v>221</v>
      </c>
    </row>
    <row r="114" spans="1:3" x14ac:dyDescent="0.25">
      <c r="A114" s="4">
        <v>44</v>
      </c>
      <c r="B114" s="4" t="s">
        <v>221</v>
      </c>
      <c r="C114" s="4" t="s">
        <v>221</v>
      </c>
    </row>
    <row r="115" spans="1:3" x14ac:dyDescent="0.25">
      <c r="A115" s="4">
        <v>45</v>
      </c>
      <c r="B115" s="4" t="s">
        <v>221</v>
      </c>
      <c r="C115" s="4" t="s">
        <v>221</v>
      </c>
    </row>
    <row r="116" spans="1:3" x14ac:dyDescent="0.25">
      <c r="A116" s="4">
        <v>46</v>
      </c>
      <c r="B116" s="4" t="s">
        <v>221</v>
      </c>
      <c r="C116" s="4" t="s">
        <v>221</v>
      </c>
    </row>
    <row r="117" spans="1:3" x14ac:dyDescent="0.25">
      <c r="A117" s="4">
        <v>47</v>
      </c>
      <c r="B117" s="4" t="s">
        <v>221</v>
      </c>
      <c r="C117" s="4" t="s">
        <v>221</v>
      </c>
    </row>
    <row r="118" spans="1:3" x14ac:dyDescent="0.25">
      <c r="A118" s="4">
        <v>48</v>
      </c>
      <c r="B118" s="4" t="s">
        <v>221</v>
      </c>
      <c r="C118" s="4" t="s">
        <v>221</v>
      </c>
    </row>
    <row r="119" spans="1:3" x14ac:dyDescent="0.25">
      <c r="A119" s="4">
        <v>49</v>
      </c>
      <c r="B119" s="4" t="s">
        <v>221</v>
      </c>
      <c r="C119" s="4" t="s">
        <v>221</v>
      </c>
    </row>
    <row r="120" spans="1:3" x14ac:dyDescent="0.25">
      <c r="A120" s="4">
        <v>50</v>
      </c>
      <c r="B120" s="4" t="s">
        <v>221</v>
      </c>
      <c r="C120" s="4" t="s">
        <v>221</v>
      </c>
    </row>
    <row r="121" spans="1:3" x14ac:dyDescent="0.25">
      <c r="A121" s="4">
        <v>51</v>
      </c>
      <c r="B121" s="4" t="s">
        <v>221</v>
      </c>
      <c r="C121" s="4" t="s">
        <v>221</v>
      </c>
    </row>
    <row r="122" spans="1:3" x14ac:dyDescent="0.25">
      <c r="A122" s="4">
        <v>52</v>
      </c>
      <c r="B122" s="4" t="s">
        <v>221</v>
      </c>
      <c r="C122" s="4" t="s">
        <v>221</v>
      </c>
    </row>
    <row r="123" spans="1:3" x14ac:dyDescent="0.25">
      <c r="A123" s="4">
        <v>53</v>
      </c>
      <c r="B123" s="4" t="s">
        <v>221</v>
      </c>
      <c r="C123" s="4" t="s">
        <v>221</v>
      </c>
    </row>
    <row r="124" spans="1:3" x14ac:dyDescent="0.25">
      <c r="A124" s="4">
        <v>54</v>
      </c>
      <c r="B124" s="4" t="s">
        <v>221</v>
      </c>
      <c r="C124" s="4" t="s">
        <v>221</v>
      </c>
    </row>
    <row r="125" spans="1:3" x14ac:dyDescent="0.25">
      <c r="A125" s="4">
        <v>55</v>
      </c>
      <c r="B125" s="4" t="s">
        <v>221</v>
      </c>
      <c r="C125" s="4" t="s">
        <v>221</v>
      </c>
    </row>
    <row r="126" spans="1:3" x14ac:dyDescent="0.25">
      <c r="A126" s="4">
        <v>56</v>
      </c>
      <c r="B126" s="4" t="s">
        <v>221</v>
      </c>
      <c r="C126" s="4" t="s">
        <v>221</v>
      </c>
    </row>
    <row r="127" spans="1:3" x14ac:dyDescent="0.25">
      <c r="A127" s="4">
        <v>57</v>
      </c>
      <c r="B127" s="4" t="s">
        <v>221</v>
      </c>
      <c r="C127" s="4" t="s">
        <v>221</v>
      </c>
    </row>
    <row r="128" spans="1:3" x14ac:dyDescent="0.25">
      <c r="A128" s="4">
        <v>58</v>
      </c>
      <c r="B128" s="4" t="s">
        <v>221</v>
      </c>
      <c r="C128" s="4" t="s">
        <v>221</v>
      </c>
    </row>
    <row r="129" spans="1:3" x14ac:dyDescent="0.25">
      <c r="A129" s="4">
        <v>59</v>
      </c>
      <c r="B129" s="4" t="s">
        <v>221</v>
      </c>
      <c r="C129" s="4" t="s">
        <v>221</v>
      </c>
    </row>
    <row r="130" spans="1:3" x14ac:dyDescent="0.25">
      <c r="A130" s="4">
        <v>60</v>
      </c>
      <c r="B130" s="4" t="s">
        <v>221</v>
      </c>
      <c r="C130" s="4" t="s">
        <v>221</v>
      </c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  <row r="181" spans="1:3" x14ac:dyDescent="0.25">
      <c r="A181" s="5"/>
      <c r="B181" s="5"/>
      <c r="C181" s="5"/>
    </row>
    <row r="182" spans="1:3" x14ac:dyDescent="0.25">
      <c r="A182" s="5"/>
      <c r="B182" s="5"/>
      <c r="C182" s="5"/>
    </row>
    <row r="183" spans="1:3" x14ac:dyDescent="0.25">
      <c r="A183" s="5"/>
      <c r="B183" s="5"/>
      <c r="C183" s="5"/>
    </row>
    <row r="184" spans="1:3" x14ac:dyDescent="0.25">
      <c r="A184" s="5"/>
      <c r="B184" s="5"/>
      <c r="C184" s="5"/>
    </row>
    <row r="185" spans="1:3" x14ac:dyDescent="0.25">
      <c r="A185" s="5"/>
      <c r="B185" s="5"/>
      <c r="C185" s="5"/>
    </row>
    <row r="186" spans="1:3" x14ac:dyDescent="0.25">
      <c r="A186" s="5"/>
      <c r="B186" s="5"/>
      <c r="C186" s="5"/>
    </row>
    <row r="187" spans="1:3" x14ac:dyDescent="0.25">
      <c r="A187" s="5"/>
      <c r="B187" s="5"/>
      <c r="C187" s="5"/>
    </row>
    <row r="188" spans="1:3" x14ac:dyDescent="0.25">
      <c r="A188" s="7"/>
      <c r="B188" s="7"/>
      <c r="C188" s="7"/>
    </row>
    <row r="189" spans="1:3" x14ac:dyDescent="0.25">
      <c r="A189" s="7"/>
      <c r="B189" s="7"/>
      <c r="C189" s="7"/>
    </row>
    <row r="190" spans="1:3" x14ac:dyDescent="0.25">
      <c r="A190" s="7"/>
      <c r="B190" s="7"/>
      <c r="C190" s="7"/>
    </row>
    <row r="191" spans="1:3" x14ac:dyDescent="0.25">
      <c r="A191" s="7"/>
      <c r="B191" s="7"/>
      <c r="C191" s="7"/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/>
      <c r="B194" s="7"/>
      <c r="C194" s="7"/>
    </row>
    <row r="195" spans="1:3" x14ac:dyDescent="0.25">
      <c r="A195" s="7"/>
      <c r="B195" s="7"/>
      <c r="C195" s="7"/>
    </row>
    <row r="196" spans="1:3" x14ac:dyDescent="0.25">
      <c r="A196" s="7"/>
      <c r="B196" s="7"/>
      <c r="C196" s="7"/>
    </row>
    <row r="197" spans="1:3" x14ac:dyDescent="0.25">
      <c r="A197" s="7"/>
      <c r="B197" s="7"/>
      <c r="C197" s="7"/>
    </row>
    <row r="198" spans="1:3" x14ac:dyDescent="0.25">
      <c r="A198" s="7"/>
      <c r="B198" s="7"/>
      <c r="C198" s="7"/>
    </row>
    <row r="199" spans="1:3" x14ac:dyDescent="0.25">
      <c r="A199" s="7"/>
      <c r="B199" s="7"/>
      <c r="C199" s="7"/>
    </row>
    <row r="200" spans="1:3" x14ac:dyDescent="0.25">
      <c r="A200" s="7"/>
      <c r="B200" s="7"/>
      <c r="C200" s="7"/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/>
      <c r="B203" s="7"/>
      <c r="C203" s="7"/>
    </row>
    <row r="204" spans="1:3" x14ac:dyDescent="0.25">
      <c r="A204" s="7"/>
      <c r="B204" s="7"/>
      <c r="C204" s="7"/>
    </row>
    <row r="205" spans="1:3" x14ac:dyDescent="0.25">
      <c r="A205" s="7"/>
      <c r="B205" s="7"/>
      <c r="C205" s="7"/>
    </row>
    <row r="206" spans="1:3" x14ac:dyDescent="0.25">
      <c r="A206" s="7"/>
      <c r="B206" s="7"/>
      <c r="C206" s="7"/>
    </row>
    <row r="207" spans="1:3" x14ac:dyDescent="0.25">
      <c r="A207" s="7"/>
      <c r="B207" s="7"/>
      <c r="C207" s="7"/>
    </row>
    <row r="208" spans="1:3" x14ac:dyDescent="0.25">
      <c r="A208" s="7"/>
      <c r="B208" s="7"/>
      <c r="C208" s="7"/>
    </row>
    <row r="209" spans="1:3" x14ac:dyDescent="0.25">
      <c r="A209" s="7"/>
      <c r="B209" s="7"/>
      <c r="C209" s="7"/>
    </row>
    <row r="210" spans="1:3" x14ac:dyDescent="0.25">
      <c r="A210" s="7"/>
      <c r="B210" s="7"/>
      <c r="C210" s="7"/>
    </row>
    <row r="211" spans="1:3" x14ac:dyDescent="0.25">
      <c r="A211" s="7"/>
      <c r="B211" s="7"/>
      <c r="C211" s="7"/>
    </row>
    <row r="212" spans="1:3" x14ac:dyDescent="0.25">
      <c r="A212" s="7"/>
      <c r="B212" s="7"/>
      <c r="C212" s="7"/>
    </row>
    <row r="213" spans="1:3" x14ac:dyDescent="0.25">
      <c r="A213" s="7"/>
      <c r="B213" s="7"/>
      <c r="C213" s="7"/>
    </row>
    <row r="214" spans="1:3" x14ac:dyDescent="0.25">
      <c r="A214" s="7"/>
      <c r="B214" s="7"/>
      <c r="C214" s="7"/>
    </row>
    <row r="215" spans="1:3" x14ac:dyDescent="0.25">
      <c r="A215" s="7"/>
      <c r="B215" s="7"/>
      <c r="C215" s="7"/>
    </row>
    <row r="216" spans="1:3" x14ac:dyDescent="0.25">
      <c r="A216" s="7"/>
      <c r="B216" s="7"/>
      <c r="C216" s="7"/>
    </row>
    <row r="217" spans="1:3" x14ac:dyDescent="0.25">
      <c r="A217" s="7"/>
      <c r="B217" s="7"/>
      <c r="C217" s="7"/>
    </row>
    <row r="218" spans="1:3" x14ac:dyDescent="0.25">
      <c r="A218" s="7"/>
      <c r="B218" s="7"/>
      <c r="C218" s="7"/>
    </row>
    <row r="219" spans="1:3" x14ac:dyDescent="0.25">
      <c r="A219" s="7"/>
      <c r="B219" s="7"/>
      <c r="C219" s="7"/>
    </row>
    <row r="220" spans="1:3" x14ac:dyDescent="0.25">
      <c r="A220" s="7"/>
      <c r="B220" s="7"/>
      <c r="C220" s="7"/>
    </row>
    <row r="221" spans="1:3" x14ac:dyDescent="0.25">
      <c r="A221" s="7"/>
      <c r="B221" s="7"/>
      <c r="C221" s="7"/>
    </row>
    <row r="222" spans="1:3" x14ac:dyDescent="0.25">
      <c r="A222" s="7"/>
      <c r="B222" s="7"/>
      <c r="C222" s="7"/>
    </row>
    <row r="223" spans="1:3" x14ac:dyDescent="0.25">
      <c r="A223" s="7"/>
      <c r="B223" s="7"/>
      <c r="C223" s="7"/>
    </row>
    <row r="224" spans="1:3" x14ac:dyDescent="0.25">
      <c r="A224" s="7"/>
      <c r="B224" s="7"/>
      <c r="C224" s="7"/>
    </row>
    <row r="225" spans="1:3" x14ac:dyDescent="0.25">
      <c r="A225" s="7"/>
      <c r="B225" s="7"/>
      <c r="C225" s="7"/>
    </row>
    <row r="226" spans="1:3" x14ac:dyDescent="0.25">
      <c r="A226" s="7"/>
      <c r="B226" s="7"/>
      <c r="C226" s="7"/>
    </row>
    <row r="227" spans="1:3" x14ac:dyDescent="0.25">
      <c r="A227" s="7"/>
      <c r="B227" s="7"/>
      <c r="C227" s="7"/>
    </row>
    <row r="228" spans="1:3" x14ac:dyDescent="0.25">
      <c r="A228" s="7"/>
      <c r="B228" s="7"/>
      <c r="C228" s="7"/>
    </row>
    <row r="229" spans="1:3" x14ac:dyDescent="0.25">
      <c r="A229" s="7"/>
      <c r="B229" s="7"/>
      <c r="C229" s="7"/>
    </row>
    <row r="230" spans="1:3" x14ac:dyDescent="0.25">
      <c r="A230" s="7"/>
      <c r="B230" s="7"/>
      <c r="C230" s="7"/>
    </row>
    <row r="231" spans="1:3" x14ac:dyDescent="0.25">
      <c r="A231" s="7"/>
      <c r="B231" s="7"/>
      <c r="C231" s="7"/>
    </row>
    <row r="232" spans="1:3" x14ac:dyDescent="0.25">
      <c r="A232" s="7"/>
      <c r="B232" s="7"/>
      <c r="C232" s="7"/>
    </row>
    <row r="233" spans="1:3" x14ac:dyDescent="0.25">
      <c r="A233" s="7"/>
      <c r="B233" s="7"/>
      <c r="C233" s="7"/>
    </row>
    <row r="234" spans="1:3" x14ac:dyDescent="0.25">
      <c r="A234" s="7"/>
      <c r="B234" s="7"/>
      <c r="C234" s="7"/>
    </row>
    <row r="235" spans="1:3" x14ac:dyDescent="0.25">
      <c r="A235" s="7"/>
      <c r="B235" s="7"/>
      <c r="C235" s="7"/>
    </row>
    <row r="236" spans="1:3" x14ac:dyDescent="0.25">
      <c r="A236" s="7"/>
      <c r="B236" s="7"/>
      <c r="C236" s="7"/>
    </row>
    <row r="237" spans="1:3" x14ac:dyDescent="0.25">
      <c r="A237" s="7"/>
      <c r="B237" s="7"/>
      <c r="C237" s="7"/>
    </row>
    <row r="238" spans="1:3" x14ac:dyDescent="0.25">
      <c r="A238" s="7"/>
      <c r="B238" s="7"/>
      <c r="C238" s="7"/>
    </row>
    <row r="239" spans="1:3" x14ac:dyDescent="0.25">
      <c r="A239" s="7"/>
      <c r="B239" s="7"/>
      <c r="C239" s="7"/>
    </row>
    <row r="240" spans="1:3" x14ac:dyDescent="0.25">
      <c r="A240" s="7"/>
      <c r="B240" s="7"/>
      <c r="C240" s="7"/>
    </row>
    <row r="241" spans="1:3" x14ac:dyDescent="0.25">
      <c r="A241" s="7"/>
      <c r="B241" s="7"/>
      <c r="C241" s="7"/>
    </row>
    <row r="242" spans="1:3" x14ac:dyDescent="0.25">
      <c r="A242" s="7"/>
      <c r="B242" s="7"/>
      <c r="C24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77"/>
  <sheetViews>
    <sheetView topLeftCell="A1015" zoomScale="110" zoomScaleNormal="110" workbookViewId="0">
      <selection activeCell="D1037" sqref="D103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22.140625" customWidth="1"/>
    <col min="4" max="4" width="18.42578125" customWidth="1"/>
    <col min="5" max="5" width="34" bestFit="1" customWidth="1"/>
    <col min="6" max="6" width="25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222</v>
      </c>
      <c r="C4">
        <f>101978.4+101978.4</f>
        <v>203956.8</v>
      </c>
      <c r="D4">
        <f>80408.22+80233.62</f>
        <v>160641.84</v>
      </c>
      <c r="E4" t="s">
        <v>214</v>
      </c>
      <c r="F4" t="s">
        <v>215</v>
      </c>
    </row>
    <row r="5" spans="1:6" x14ac:dyDescent="0.25">
      <c r="A5">
        <v>1</v>
      </c>
      <c r="B5" t="s">
        <v>223</v>
      </c>
      <c r="C5">
        <v>0</v>
      </c>
      <c r="D5">
        <v>0</v>
      </c>
      <c r="E5" t="s">
        <v>214</v>
      </c>
      <c r="F5" t="s">
        <v>215</v>
      </c>
    </row>
    <row r="6" spans="1:6" x14ac:dyDescent="0.25">
      <c r="A6">
        <v>1</v>
      </c>
      <c r="B6" t="s">
        <v>224</v>
      </c>
      <c r="C6">
        <v>0</v>
      </c>
      <c r="D6">
        <v>0</v>
      </c>
      <c r="E6" t="s">
        <v>214</v>
      </c>
      <c r="F6" t="s">
        <v>215</v>
      </c>
    </row>
    <row r="7" spans="1:6" x14ac:dyDescent="0.25">
      <c r="A7">
        <v>1</v>
      </c>
      <c r="B7" t="s">
        <v>225</v>
      </c>
      <c r="C7">
        <v>0</v>
      </c>
      <c r="D7">
        <v>0</v>
      </c>
      <c r="E7" t="s">
        <v>214</v>
      </c>
      <c r="F7" t="s">
        <v>215</v>
      </c>
    </row>
    <row r="8" spans="1:6" x14ac:dyDescent="0.25">
      <c r="A8">
        <v>1</v>
      </c>
      <c r="B8" t="s">
        <v>226</v>
      </c>
      <c r="C8">
        <v>0</v>
      </c>
      <c r="D8">
        <v>0</v>
      </c>
      <c r="E8" t="s">
        <v>214</v>
      </c>
      <c r="F8" t="s">
        <v>215</v>
      </c>
    </row>
    <row r="9" spans="1:6" x14ac:dyDescent="0.25">
      <c r="A9">
        <v>1</v>
      </c>
      <c r="B9" t="s">
        <v>227</v>
      </c>
      <c r="C9">
        <v>0</v>
      </c>
      <c r="D9">
        <v>0</v>
      </c>
      <c r="E9" t="s">
        <v>214</v>
      </c>
      <c r="F9" t="s">
        <v>215</v>
      </c>
    </row>
    <row r="10" spans="1:6" x14ac:dyDescent="0.25">
      <c r="A10">
        <v>1</v>
      </c>
      <c r="B10" t="s">
        <v>228</v>
      </c>
      <c r="C10">
        <v>0</v>
      </c>
      <c r="D10">
        <v>0</v>
      </c>
      <c r="E10" t="s">
        <v>214</v>
      </c>
      <c r="F10" t="s">
        <v>215</v>
      </c>
    </row>
    <row r="11" spans="1:6" x14ac:dyDescent="0.25">
      <c r="A11">
        <v>1</v>
      </c>
      <c r="B11" t="s">
        <v>229</v>
      </c>
      <c r="C11">
        <v>0</v>
      </c>
      <c r="D11">
        <v>0</v>
      </c>
      <c r="E11" t="s">
        <v>214</v>
      </c>
      <c r="F11" t="s">
        <v>215</v>
      </c>
    </row>
    <row r="12" spans="1:6" x14ac:dyDescent="0.25">
      <c r="A12">
        <v>2</v>
      </c>
      <c r="B12" t="s">
        <v>222</v>
      </c>
      <c r="C12">
        <f>18920.95+19412.42</f>
        <v>38333.369999999995</v>
      </c>
      <c r="D12">
        <f>17221.59+17368.11</f>
        <v>34589.699999999997</v>
      </c>
      <c r="E12" t="s">
        <v>214</v>
      </c>
      <c r="F12" t="s">
        <v>215</v>
      </c>
    </row>
    <row r="13" spans="1:6" x14ac:dyDescent="0.25">
      <c r="A13">
        <v>2</v>
      </c>
      <c r="B13" t="s">
        <v>223</v>
      </c>
      <c r="C13">
        <f>376.27+386.06</f>
        <v>762.32999999999993</v>
      </c>
      <c r="D13">
        <f>376.27+386.06</f>
        <v>762.32999999999993</v>
      </c>
      <c r="E13" t="s">
        <v>214</v>
      </c>
      <c r="F13" t="s">
        <v>215</v>
      </c>
    </row>
    <row r="14" spans="1:6" x14ac:dyDescent="0.25">
      <c r="A14">
        <v>2</v>
      </c>
      <c r="B14" t="s">
        <v>224</v>
      </c>
      <c r="C14">
        <f>279+286.23</f>
        <v>565.23</v>
      </c>
      <c r="D14">
        <f>279+286.23</f>
        <v>565.23</v>
      </c>
      <c r="E14" t="s">
        <v>214</v>
      </c>
      <c r="F14" t="s">
        <v>215</v>
      </c>
    </row>
    <row r="15" spans="1:6" x14ac:dyDescent="0.25">
      <c r="A15">
        <v>2</v>
      </c>
      <c r="B15" t="s">
        <v>225</v>
      </c>
      <c r="C15">
        <f>2278.17+2337.36</f>
        <v>4615.5300000000007</v>
      </c>
      <c r="D15">
        <f>2278.17+2337.36</f>
        <v>4615.5300000000007</v>
      </c>
      <c r="E15" t="s">
        <v>214</v>
      </c>
      <c r="F15" t="s">
        <v>215</v>
      </c>
    </row>
    <row r="16" spans="1:6" x14ac:dyDescent="0.25">
      <c r="A16">
        <v>2</v>
      </c>
      <c r="B16" t="s">
        <v>226</v>
      </c>
      <c r="C16">
        <f>567.33+582.06</f>
        <v>1149.3899999999999</v>
      </c>
      <c r="D16">
        <f>567.33+582.06</f>
        <v>1149.3899999999999</v>
      </c>
      <c r="E16" t="s">
        <v>214</v>
      </c>
      <c r="F16" t="s">
        <v>215</v>
      </c>
    </row>
    <row r="17" spans="1:6" x14ac:dyDescent="0.25">
      <c r="A17">
        <v>2</v>
      </c>
      <c r="B17" t="s">
        <v>227</v>
      </c>
      <c r="C17">
        <f>2623.02+2691.16</f>
        <v>5314.18</v>
      </c>
      <c r="D17">
        <f>2387.44+2407.76</f>
        <v>4795.2000000000007</v>
      </c>
      <c r="E17" t="s">
        <v>214</v>
      </c>
      <c r="F17" t="s">
        <v>215</v>
      </c>
    </row>
    <row r="18" spans="1:6" x14ac:dyDescent="0.25">
      <c r="A18">
        <v>2</v>
      </c>
      <c r="B18" t="s">
        <v>228</v>
      </c>
      <c r="C18">
        <f>461.74+473.75</f>
        <v>935.49</v>
      </c>
      <c r="D18">
        <f>461.74+473.75</f>
        <v>935.49</v>
      </c>
      <c r="E18" t="s">
        <v>214</v>
      </c>
      <c r="F18" t="s">
        <v>215</v>
      </c>
    </row>
    <row r="19" spans="1:6" x14ac:dyDescent="0.25">
      <c r="A19">
        <v>2</v>
      </c>
      <c r="B19" t="s">
        <v>229</v>
      </c>
      <c r="C19">
        <f>160.16+164.32</f>
        <v>324.48</v>
      </c>
      <c r="D19">
        <f>145.77+147.02</f>
        <v>292.79000000000002</v>
      </c>
      <c r="E19" t="s">
        <v>214</v>
      </c>
      <c r="F19" t="s">
        <v>215</v>
      </c>
    </row>
    <row r="20" spans="1:6" x14ac:dyDescent="0.25">
      <c r="A20">
        <v>3</v>
      </c>
      <c r="B20" t="s">
        <v>222</v>
      </c>
      <c r="C20">
        <f>23005.92+8435.5</f>
        <v>31441.42</v>
      </c>
      <c r="D20">
        <f>20242.72+7523.24</f>
        <v>27765.96</v>
      </c>
      <c r="E20" t="s">
        <v>214</v>
      </c>
      <c r="F20" t="s">
        <v>215</v>
      </c>
    </row>
    <row r="21" spans="1:6" x14ac:dyDescent="0.25">
      <c r="A21">
        <v>3</v>
      </c>
      <c r="B21" t="s">
        <v>223</v>
      </c>
      <c r="C21">
        <f>439.8+161.26</f>
        <v>601.05999999999995</v>
      </c>
      <c r="D21">
        <f t="shared" ref="D21:D34" si="0">+C21</f>
        <v>601.05999999999995</v>
      </c>
      <c r="E21" t="s">
        <v>214</v>
      </c>
      <c r="F21" t="s">
        <v>215</v>
      </c>
    </row>
    <row r="22" spans="1:6" x14ac:dyDescent="0.25">
      <c r="A22">
        <v>3</v>
      </c>
      <c r="B22" t="s">
        <v>224</v>
      </c>
      <c r="C22">
        <f>326.1+119.57</f>
        <v>445.67</v>
      </c>
      <c r="D22">
        <f t="shared" si="0"/>
        <v>445.67</v>
      </c>
      <c r="E22" t="s">
        <v>214</v>
      </c>
      <c r="F22" t="s">
        <v>215</v>
      </c>
    </row>
    <row r="23" spans="1:6" x14ac:dyDescent="0.25">
      <c r="A23">
        <v>3</v>
      </c>
      <c r="B23" t="s">
        <v>225</v>
      </c>
      <c r="C23">
        <f>2662.8+976.36</f>
        <v>3639.1600000000003</v>
      </c>
      <c r="D23">
        <f t="shared" si="0"/>
        <v>3639.1600000000003</v>
      </c>
      <c r="E23" t="s">
        <v>214</v>
      </c>
      <c r="F23" t="s">
        <v>215</v>
      </c>
    </row>
    <row r="24" spans="1:6" x14ac:dyDescent="0.25">
      <c r="A24">
        <v>3</v>
      </c>
      <c r="B24" t="s">
        <v>226</v>
      </c>
      <c r="C24">
        <f>663.12+243.14</f>
        <v>906.26</v>
      </c>
      <c r="D24">
        <f t="shared" si="0"/>
        <v>906.26</v>
      </c>
      <c r="E24" t="s">
        <v>214</v>
      </c>
      <c r="F24" t="s">
        <v>215</v>
      </c>
    </row>
    <row r="25" spans="1:6" x14ac:dyDescent="0.25">
      <c r="A25">
        <v>3</v>
      </c>
      <c r="B25" t="s">
        <v>227</v>
      </c>
      <c r="C25">
        <f>3676.74+1348.14</f>
        <v>5024.88</v>
      </c>
      <c r="D25">
        <f>3235.13+1202.35</f>
        <v>4437.4799999999996</v>
      </c>
      <c r="E25" t="s">
        <v>214</v>
      </c>
      <c r="F25" t="s">
        <v>215</v>
      </c>
    </row>
    <row r="26" spans="1:6" x14ac:dyDescent="0.25">
      <c r="A26">
        <v>3</v>
      </c>
      <c r="B26" t="s">
        <v>228</v>
      </c>
      <c r="C26">
        <f>539.7+197.89</f>
        <v>737.59</v>
      </c>
      <c r="D26">
        <f t="shared" si="0"/>
        <v>737.59</v>
      </c>
      <c r="E26" t="s">
        <v>214</v>
      </c>
      <c r="F26" t="s">
        <v>215</v>
      </c>
    </row>
    <row r="27" spans="1:6" x14ac:dyDescent="0.25">
      <c r="A27">
        <v>3</v>
      </c>
      <c r="B27" t="s">
        <v>229</v>
      </c>
      <c r="C27">
        <f>4685.82+1718.13</f>
        <v>6403.95</v>
      </c>
      <c r="D27">
        <f>4123.01+1532.32</f>
        <v>5655.33</v>
      </c>
      <c r="E27" t="s">
        <v>214</v>
      </c>
      <c r="F27" t="s">
        <v>215</v>
      </c>
    </row>
    <row r="28" spans="1:6" x14ac:dyDescent="0.25">
      <c r="A28">
        <v>4</v>
      </c>
      <c r="B28" t="s">
        <v>222</v>
      </c>
      <c r="C28">
        <f>22115.4+22115.4</f>
        <v>44230.8</v>
      </c>
      <c r="D28">
        <f>19769.55+19573.8</f>
        <v>39343.35</v>
      </c>
      <c r="E28" t="s">
        <v>214</v>
      </c>
      <c r="F28" t="s">
        <v>215</v>
      </c>
    </row>
    <row r="29" spans="1:6" x14ac:dyDescent="0.25">
      <c r="A29">
        <v>4</v>
      </c>
      <c r="B29" t="s">
        <v>223</v>
      </c>
      <c r="C29">
        <f>439.8+439.8</f>
        <v>879.6</v>
      </c>
      <c r="D29">
        <f t="shared" si="0"/>
        <v>879.6</v>
      </c>
      <c r="E29" t="s">
        <v>214</v>
      </c>
      <c r="F29" t="s">
        <v>215</v>
      </c>
    </row>
    <row r="30" spans="1:6" x14ac:dyDescent="0.25">
      <c r="A30">
        <v>4</v>
      </c>
      <c r="B30" t="s">
        <v>224</v>
      </c>
      <c r="C30">
        <f>326.1+326.1</f>
        <v>652.20000000000005</v>
      </c>
      <c r="D30">
        <f t="shared" si="0"/>
        <v>652.20000000000005</v>
      </c>
      <c r="E30" t="s">
        <v>214</v>
      </c>
      <c r="F30" t="s">
        <v>215</v>
      </c>
    </row>
    <row r="31" spans="1:6" x14ac:dyDescent="0.25">
      <c r="A31">
        <v>4</v>
      </c>
      <c r="B31" t="s">
        <v>225</v>
      </c>
      <c r="C31">
        <f>2662.8+2662.8</f>
        <v>5325.6</v>
      </c>
      <c r="D31">
        <f t="shared" si="0"/>
        <v>5325.6</v>
      </c>
      <c r="E31" t="s">
        <v>214</v>
      </c>
      <c r="F31" t="s">
        <v>215</v>
      </c>
    </row>
    <row r="32" spans="1:6" x14ac:dyDescent="0.25">
      <c r="A32">
        <v>4</v>
      </c>
      <c r="B32" t="s">
        <v>226</v>
      </c>
      <c r="C32">
        <f>663.12+663.12</f>
        <v>1326.24</v>
      </c>
      <c r="D32">
        <f t="shared" si="0"/>
        <v>1326.24</v>
      </c>
      <c r="E32" t="s">
        <v>214</v>
      </c>
      <c r="F32" t="s">
        <v>215</v>
      </c>
    </row>
    <row r="33" spans="1:6" x14ac:dyDescent="0.25">
      <c r="A33">
        <v>4</v>
      </c>
      <c r="B33" t="s">
        <v>227</v>
      </c>
      <c r="C33">
        <f>3065.88+3065.88</f>
        <v>6131.76</v>
      </c>
      <c r="D33">
        <f>2740.67+2713.54</f>
        <v>5454.21</v>
      </c>
      <c r="E33" t="s">
        <v>214</v>
      </c>
      <c r="F33" t="s">
        <v>215</v>
      </c>
    </row>
    <row r="34" spans="1:6" x14ac:dyDescent="0.25">
      <c r="A34">
        <v>4</v>
      </c>
      <c r="B34" t="s">
        <v>228</v>
      </c>
      <c r="C34">
        <f>539.7+539.7</f>
        <v>1079.4000000000001</v>
      </c>
      <c r="D34">
        <f t="shared" si="0"/>
        <v>1079.4000000000001</v>
      </c>
      <c r="E34" t="s">
        <v>214</v>
      </c>
      <c r="F34" t="s">
        <v>215</v>
      </c>
    </row>
    <row r="35" spans="1:6" x14ac:dyDescent="0.25">
      <c r="A35">
        <v>4</v>
      </c>
      <c r="B35" t="s">
        <v>229</v>
      </c>
      <c r="C35">
        <f>187.2+187.2</f>
        <v>374.4</v>
      </c>
      <c r="D35">
        <f>167.34+165.69</f>
        <v>333.03</v>
      </c>
      <c r="E35" t="s">
        <v>214</v>
      </c>
      <c r="F35" t="s">
        <v>215</v>
      </c>
    </row>
    <row r="36" spans="1:6" x14ac:dyDescent="0.25">
      <c r="A36">
        <v>5</v>
      </c>
      <c r="B36" t="s">
        <v>222</v>
      </c>
      <c r="C36">
        <f>23005.92+23005.92</f>
        <v>46011.839999999997</v>
      </c>
      <c r="D36">
        <f>19236.79+19266.04</f>
        <v>38502.83</v>
      </c>
      <c r="E36" t="s">
        <v>214</v>
      </c>
      <c r="F36" t="s">
        <v>215</v>
      </c>
    </row>
    <row r="37" spans="1:6" x14ac:dyDescent="0.25">
      <c r="A37">
        <v>5</v>
      </c>
      <c r="B37" t="s">
        <v>223</v>
      </c>
      <c r="C37">
        <f>439.8+439.8</f>
        <v>879.6</v>
      </c>
      <c r="D37">
        <f t="shared" ref="D37:D42" si="1">+C37</f>
        <v>879.6</v>
      </c>
      <c r="E37" t="s">
        <v>214</v>
      </c>
      <c r="F37" t="s">
        <v>215</v>
      </c>
    </row>
    <row r="38" spans="1:6" x14ac:dyDescent="0.25">
      <c r="A38">
        <v>5</v>
      </c>
      <c r="B38" t="s">
        <v>224</v>
      </c>
      <c r="C38">
        <f>326.1+326.1</f>
        <v>652.20000000000005</v>
      </c>
      <c r="D38">
        <f t="shared" si="1"/>
        <v>652.20000000000005</v>
      </c>
      <c r="E38" t="s">
        <v>214</v>
      </c>
      <c r="F38" t="s">
        <v>215</v>
      </c>
    </row>
    <row r="39" spans="1:6" x14ac:dyDescent="0.25">
      <c r="A39">
        <v>5</v>
      </c>
      <c r="B39" t="s">
        <v>225</v>
      </c>
      <c r="C39">
        <f>2662.8+2662.8</f>
        <v>5325.6</v>
      </c>
      <c r="D39">
        <f t="shared" si="1"/>
        <v>5325.6</v>
      </c>
      <c r="E39" t="s">
        <v>214</v>
      </c>
      <c r="F39" t="s">
        <v>215</v>
      </c>
    </row>
    <row r="40" spans="1:6" x14ac:dyDescent="0.25">
      <c r="A40">
        <v>5</v>
      </c>
      <c r="B40" t="s">
        <v>226</v>
      </c>
      <c r="C40">
        <f>663.12+663.12</f>
        <v>1326.24</v>
      </c>
      <c r="D40">
        <f t="shared" si="1"/>
        <v>1326.24</v>
      </c>
      <c r="E40" t="s">
        <v>214</v>
      </c>
      <c r="F40" t="s">
        <v>215</v>
      </c>
    </row>
    <row r="41" spans="1:6" x14ac:dyDescent="0.25">
      <c r="A41">
        <v>5</v>
      </c>
      <c r="B41" t="s">
        <v>227</v>
      </c>
      <c r="C41">
        <f>18676.74+18676.74</f>
        <v>37353.480000000003</v>
      </c>
      <c r="D41">
        <f>15616.87+15640.62</f>
        <v>31257.49</v>
      </c>
      <c r="E41" t="s">
        <v>214</v>
      </c>
      <c r="F41" t="s">
        <v>215</v>
      </c>
    </row>
    <row r="42" spans="1:6" x14ac:dyDescent="0.25">
      <c r="A42">
        <v>5</v>
      </c>
      <c r="B42" t="s">
        <v>228</v>
      </c>
      <c r="C42">
        <f>539.7+539.7</f>
        <v>1079.4000000000001</v>
      </c>
      <c r="D42">
        <f t="shared" si="1"/>
        <v>1079.4000000000001</v>
      </c>
      <c r="E42" t="s">
        <v>214</v>
      </c>
      <c r="F42" t="s">
        <v>215</v>
      </c>
    </row>
    <row r="43" spans="1:6" x14ac:dyDescent="0.25">
      <c r="A43">
        <v>5</v>
      </c>
      <c r="B43" t="s">
        <v>229</v>
      </c>
      <c r="C43">
        <f>4685.82+4685.82</f>
        <v>9371.64</v>
      </c>
      <c r="D43">
        <f>3918.13+3924.09</f>
        <v>7842.22</v>
      </c>
      <c r="E43" t="s">
        <v>214</v>
      </c>
      <c r="F43" t="s">
        <v>215</v>
      </c>
    </row>
    <row r="44" spans="1:6" x14ac:dyDescent="0.25">
      <c r="A44">
        <v>6</v>
      </c>
      <c r="B44" t="s">
        <v>222</v>
      </c>
      <c r="C44">
        <f>18870.71+18653.81</f>
        <v>37524.520000000004</v>
      </c>
      <c r="D44">
        <f>16885.07+16540.88</f>
        <v>33425.949999999997</v>
      </c>
      <c r="E44" t="s">
        <v>214</v>
      </c>
      <c r="F44" t="s">
        <v>215</v>
      </c>
    </row>
    <row r="45" spans="1:6" x14ac:dyDescent="0.25">
      <c r="A45">
        <v>6</v>
      </c>
      <c r="B45" t="s">
        <v>223</v>
      </c>
      <c r="C45">
        <f>425.14+420.25</f>
        <v>845.39</v>
      </c>
      <c r="D45">
        <f t="shared" ref="D45:D50" si="2">+C45</f>
        <v>845.39</v>
      </c>
      <c r="E45" t="s">
        <v>214</v>
      </c>
      <c r="F45" t="s">
        <v>215</v>
      </c>
    </row>
    <row r="46" spans="1:6" x14ac:dyDescent="0.25">
      <c r="A46">
        <v>6</v>
      </c>
      <c r="B46" t="s">
        <v>224</v>
      </c>
      <c r="C46">
        <f>315.23+311.61</f>
        <v>626.84</v>
      </c>
      <c r="D46">
        <f t="shared" si="2"/>
        <v>626.84</v>
      </c>
      <c r="E46" t="s">
        <v>214</v>
      </c>
      <c r="F46" t="s">
        <v>215</v>
      </c>
    </row>
    <row r="47" spans="1:6" x14ac:dyDescent="0.25">
      <c r="A47">
        <v>6</v>
      </c>
      <c r="B47" t="s">
        <v>225</v>
      </c>
      <c r="C47">
        <f>2574.04+2544.45</f>
        <v>5118.49</v>
      </c>
      <c r="D47">
        <f t="shared" si="2"/>
        <v>5118.49</v>
      </c>
      <c r="E47" t="s">
        <v>214</v>
      </c>
      <c r="F47" t="s">
        <v>215</v>
      </c>
    </row>
    <row r="48" spans="1:6" x14ac:dyDescent="0.25">
      <c r="A48">
        <v>6</v>
      </c>
      <c r="B48" t="s">
        <v>226</v>
      </c>
      <c r="C48">
        <f>641.01+633.64</f>
        <v>1274.6500000000001</v>
      </c>
      <c r="D48">
        <f t="shared" si="2"/>
        <v>1274.6500000000001</v>
      </c>
      <c r="E48" t="s">
        <v>214</v>
      </c>
      <c r="F48" t="s">
        <v>215</v>
      </c>
    </row>
    <row r="49" spans="1:6" x14ac:dyDescent="0.25">
      <c r="A49">
        <v>6</v>
      </c>
      <c r="B49" t="s">
        <v>227</v>
      </c>
      <c r="C49">
        <f>5471.2+5408.31</f>
        <v>10879.51</v>
      </c>
      <c r="D49">
        <f>4895.5+4795.71</f>
        <v>9691.2099999999991</v>
      </c>
      <c r="E49" t="s">
        <v>214</v>
      </c>
      <c r="F49" t="s">
        <v>215</v>
      </c>
    </row>
    <row r="50" spans="1:6" x14ac:dyDescent="0.25">
      <c r="A50">
        <v>6</v>
      </c>
      <c r="B50" t="s">
        <v>228</v>
      </c>
      <c r="C50">
        <f>521.71+515.71</f>
        <v>1037.42</v>
      </c>
      <c r="D50">
        <f t="shared" si="2"/>
        <v>1037.42</v>
      </c>
      <c r="E50" t="s">
        <v>214</v>
      </c>
      <c r="F50" t="s">
        <v>215</v>
      </c>
    </row>
    <row r="51" spans="1:6" x14ac:dyDescent="0.25">
      <c r="A51">
        <v>6</v>
      </c>
      <c r="B51" t="s">
        <v>229</v>
      </c>
      <c r="C51">
        <f>180.96+178.88</f>
        <v>359.84000000000003</v>
      </c>
      <c r="D51">
        <f>161.92+158.62</f>
        <v>320.53999999999996</v>
      </c>
      <c r="E51" t="s">
        <v>214</v>
      </c>
      <c r="F51" t="s">
        <v>215</v>
      </c>
    </row>
    <row r="52" spans="1:6" x14ac:dyDescent="0.25">
      <c r="A52">
        <v>7</v>
      </c>
      <c r="B52" t="s">
        <v>222</v>
      </c>
      <c r="C52">
        <f>19521.42+19304.52</f>
        <v>38825.94</v>
      </c>
      <c r="D52">
        <f>18290.59+17985.95</f>
        <v>36276.54</v>
      </c>
      <c r="E52" t="s">
        <v>214</v>
      </c>
      <c r="F52" t="s">
        <v>215</v>
      </c>
    </row>
    <row r="53" spans="1:6" x14ac:dyDescent="0.25">
      <c r="A53">
        <v>7</v>
      </c>
      <c r="B53" t="s">
        <v>223</v>
      </c>
      <c r="C53">
        <f>439.8+434.91</f>
        <v>874.71</v>
      </c>
      <c r="D53">
        <f t="shared" ref="D53:D58" si="3">+C53</f>
        <v>874.71</v>
      </c>
      <c r="E53" t="s">
        <v>214</v>
      </c>
      <c r="F53" t="s">
        <v>215</v>
      </c>
    </row>
    <row r="54" spans="1:6" x14ac:dyDescent="0.25">
      <c r="A54">
        <v>7</v>
      </c>
      <c r="B54" t="s">
        <v>224</v>
      </c>
      <c r="C54">
        <f>326.1+322.48</f>
        <v>648.58000000000004</v>
      </c>
      <c r="D54">
        <f t="shared" si="3"/>
        <v>648.58000000000004</v>
      </c>
      <c r="E54" t="s">
        <v>214</v>
      </c>
      <c r="F54" t="s">
        <v>215</v>
      </c>
    </row>
    <row r="55" spans="1:6" x14ac:dyDescent="0.25">
      <c r="A55">
        <v>7</v>
      </c>
      <c r="B55" t="s">
        <v>225</v>
      </c>
      <c r="C55">
        <f>2662.8+2633.21</f>
        <v>5296.01</v>
      </c>
      <c r="D55">
        <f t="shared" si="3"/>
        <v>5296.01</v>
      </c>
      <c r="E55" t="s">
        <v>214</v>
      </c>
      <c r="F55" t="s">
        <v>215</v>
      </c>
    </row>
    <row r="56" spans="1:6" x14ac:dyDescent="0.25">
      <c r="A56">
        <v>7</v>
      </c>
      <c r="B56" t="s">
        <v>226</v>
      </c>
      <c r="C56">
        <f>663.12+655.75</f>
        <v>1318.87</v>
      </c>
      <c r="D56">
        <f t="shared" si="3"/>
        <v>1318.87</v>
      </c>
      <c r="E56" t="s">
        <v>214</v>
      </c>
      <c r="F56" t="s">
        <v>215</v>
      </c>
    </row>
    <row r="57" spans="1:6" x14ac:dyDescent="0.25">
      <c r="A57">
        <v>7</v>
      </c>
      <c r="B57" t="s">
        <v>227</v>
      </c>
      <c r="C57">
        <v>0</v>
      </c>
      <c r="D57">
        <v>0</v>
      </c>
      <c r="E57" t="s">
        <v>214</v>
      </c>
      <c r="F57" t="s">
        <v>215</v>
      </c>
    </row>
    <row r="58" spans="1:6" x14ac:dyDescent="0.25">
      <c r="A58">
        <v>7</v>
      </c>
      <c r="B58" t="s">
        <v>228</v>
      </c>
      <c r="C58">
        <f>539.7+533.7</f>
        <v>1073.4000000000001</v>
      </c>
      <c r="D58">
        <f t="shared" si="3"/>
        <v>1073.4000000000001</v>
      </c>
      <c r="E58" t="s">
        <v>214</v>
      </c>
      <c r="F58" t="s">
        <v>215</v>
      </c>
    </row>
    <row r="59" spans="1:6" x14ac:dyDescent="0.25">
      <c r="A59">
        <v>7</v>
      </c>
      <c r="B59" t="s">
        <v>229</v>
      </c>
      <c r="C59">
        <f>187.2+185.12</f>
        <v>372.32</v>
      </c>
      <c r="D59">
        <f>175.4+172.48</f>
        <v>347.88</v>
      </c>
      <c r="E59" t="s">
        <v>214</v>
      </c>
      <c r="F59" t="s">
        <v>215</v>
      </c>
    </row>
    <row r="60" spans="1:6" x14ac:dyDescent="0.25">
      <c r="A60">
        <v>8</v>
      </c>
      <c r="B60" t="s">
        <v>222</v>
      </c>
      <c r="C60">
        <f>22115.4+22115.4</f>
        <v>44230.8</v>
      </c>
      <c r="D60">
        <f>19819.32+19638.15</f>
        <v>39457.47</v>
      </c>
      <c r="E60" t="s">
        <v>214</v>
      </c>
      <c r="F60" t="s">
        <v>215</v>
      </c>
    </row>
    <row r="61" spans="1:6" x14ac:dyDescent="0.25">
      <c r="A61">
        <v>8</v>
      </c>
      <c r="B61" t="s">
        <v>223</v>
      </c>
      <c r="C61">
        <f>439.8+439.8</f>
        <v>879.6</v>
      </c>
      <c r="D61">
        <f t="shared" ref="D61:D66" si="4">+C61</f>
        <v>879.6</v>
      </c>
      <c r="E61" t="s">
        <v>214</v>
      </c>
      <c r="F61" t="s">
        <v>215</v>
      </c>
    </row>
    <row r="62" spans="1:6" x14ac:dyDescent="0.25">
      <c r="A62">
        <v>8</v>
      </c>
      <c r="B62" t="s">
        <v>224</v>
      </c>
      <c r="C62">
        <f>326.1+326.1</f>
        <v>652.20000000000005</v>
      </c>
      <c r="D62">
        <f t="shared" si="4"/>
        <v>652.20000000000005</v>
      </c>
      <c r="E62" t="s">
        <v>214</v>
      </c>
      <c r="F62" t="s">
        <v>215</v>
      </c>
    </row>
    <row r="63" spans="1:6" x14ac:dyDescent="0.25">
      <c r="A63">
        <v>8</v>
      </c>
      <c r="B63" t="s">
        <v>225</v>
      </c>
      <c r="C63">
        <f>2662.8+2662.8</f>
        <v>5325.6</v>
      </c>
      <c r="D63">
        <f t="shared" si="4"/>
        <v>5325.6</v>
      </c>
      <c r="E63" t="s">
        <v>214</v>
      </c>
      <c r="F63" t="s">
        <v>215</v>
      </c>
    </row>
    <row r="64" spans="1:6" x14ac:dyDescent="0.25">
      <c r="A64">
        <v>8</v>
      </c>
      <c r="B64" t="s">
        <v>226</v>
      </c>
      <c r="C64">
        <f>663.12+663.12</f>
        <v>1326.24</v>
      </c>
      <c r="D64">
        <f t="shared" si="4"/>
        <v>1326.24</v>
      </c>
      <c r="E64" t="s">
        <v>214</v>
      </c>
      <c r="F64" t="s">
        <v>215</v>
      </c>
    </row>
    <row r="65" spans="1:6" x14ac:dyDescent="0.25">
      <c r="A65">
        <v>8</v>
      </c>
      <c r="B65" t="s">
        <v>227</v>
      </c>
      <c r="C65">
        <v>0</v>
      </c>
      <c r="D65">
        <v>0</v>
      </c>
      <c r="E65" t="s">
        <v>214</v>
      </c>
      <c r="F65" t="s">
        <v>215</v>
      </c>
    </row>
    <row r="66" spans="1:6" x14ac:dyDescent="0.25">
      <c r="A66">
        <v>8</v>
      </c>
      <c r="B66" t="s">
        <v>228</v>
      </c>
      <c r="C66">
        <f>539.7+539.7</f>
        <v>1079.4000000000001</v>
      </c>
      <c r="D66">
        <f t="shared" si="4"/>
        <v>1079.4000000000001</v>
      </c>
      <c r="E66" t="s">
        <v>214</v>
      </c>
      <c r="F66" t="s">
        <v>215</v>
      </c>
    </row>
    <row r="67" spans="1:6" x14ac:dyDescent="0.25">
      <c r="A67">
        <v>8</v>
      </c>
      <c r="B67" t="s">
        <v>229</v>
      </c>
      <c r="C67">
        <f>187.2+187.2</f>
        <v>374.4</v>
      </c>
      <c r="D67">
        <f>167.76+166.23</f>
        <v>333.99</v>
      </c>
      <c r="E67" t="s">
        <v>214</v>
      </c>
      <c r="F67" t="s">
        <v>215</v>
      </c>
    </row>
    <row r="68" spans="1:6" x14ac:dyDescent="0.25">
      <c r="A68">
        <v>9</v>
      </c>
      <c r="B68" t="s">
        <v>222</v>
      </c>
      <c r="C68">
        <f>18219.99+19087.61</f>
        <v>37307.600000000006</v>
      </c>
      <c r="D68">
        <f>17232.51+17798.59</f>
        <v>35031.1</v>
      </c>
      <c r="E68" t="s">
        <v>214</v>
      </c>
      <c r="F68" t="s">
        <v>215</v>
      </c>
    </row>
    <row r="69" spans="1:6" x14ac:dyDescent="0.25">
      <c r="A69">
        <v>9</v>
      </c>
      <c r="B69" t="s">
        <v>223</v>
      </c>
      <c r="C69">
        <f>410.48+430.03</f>
        <v>840.51</v>
      </c>
      <c r="D69">
        <f t="shared" ref="D69:D74" si="5">+C69</f>
        <v>840.51</v>
      </c>
      <c r="E69" t="s">
        <v>214</v>
      </c>
      <c r="F69" t="s">
        <v>215</v>
      </c>
    </row>
    <row r="70" spans="1:6" x14ac:dyDescent="0.25">
      <c r="A70">
        <v>9</v>
      </c>
      <c r="B70" t="s">
        <v>224</v>
      </c>
      <c r="C70">
        <f>304.36+318.85</f>
        <v>623.21</v>
      </c>
      <c r="D70">
        <f t="shared" si="5"/>
        <v>623.21</v>
      </c>
      <c r="E70" t="s">
        <v>214</v>
      </c>
      <c r="F70" t="s">
        <v>215</v>
      </c>
    </row>
    <row r="71" spans="1:6" x14ac:dyDescent="0.25">
      <c r="A71">
        <v>9</v>
      </c>
      <c r="B71" t="s">
        <v>225</v>
      </c>
      <c r="C71">
        <f>2485.28+2603.63</f>
        <v>5088.91</v>
      </c>
      <c r="D71">
        <f t="shared" si="5"/>
        <v>5088.91</v>
      </c>
      <c r="E71" t="s">
        <v>214</v>
      </c>
      <c r="F71" t="s">
        <v>215</v>
      </c>
    </row>
    <row r="72" spans="1:6" x14ac:dyDescent="0.25">
      <c r="A72">
        <v>9</v>
      </c>
      <c r="B72" t="s">
        <v>226</v>
      </c>
      <c r="C72">
        <f>618.91+648.38</f>
        <v>1267.29</v>
      </c>
      <c r="D72">
        <f t="shared" si="5"/>
        <v>1267.29</v>
      </c>
      <c r="E72" t="s">
        <v>214</v>
      </c>
      <c r="F72" t="s">
        <v>215</v>
      </c>
    </row>
    <row r="73" spans="1:6" x14ac:dyDescent="0.25">
      <c r="A73">
        <v>9</v>
      </c>
      <c r="B73" t="s">
        <v>227</v>
      </c>
      <c r="C73">
        <v>0</v>
      </c>
      <c r="D73">
        <v>0</v>
      </c>
      <c r="E73" t="s">
        <v>214</v>
      </c>
      <c r="F73" t="s">
        <v>215</v>
      </c>
    </row>
    <row r="74" spans="1:6" x14ac:dyDescent="0.25">
      <c r="A74">
        <v>9</v>
      </c>
      <c r="B74" t="s">
        <v>228</v>
      </c>
      <c r="C74">
        <f>503.72+527.71</f>
        <v>1031.43</v>
      </c>
      <c r="D74">
        <f t="shared" si="5"/>
        <v>1031.43</v>
      </c>
      <c r="E74" t="s">
        <v>214</v>
      </c>
      <c r="F74" t="s">
        <v>215</v>
      </c>
    </row>
    <row r="75" spans="1:6" x14ac:dyDescent="0.25">
      <c r="A75">
        <v>9</v>
      </c>
      <c r="B75" t="s">
        <v>229</v>
      </c>
      <c r="C75">
        <f>174.72+183.04</f>
        <v>357.76</v>
      </c>
      <c r="D75">
        <f>165.25+170.68</f>
        <v>335.93</v>
      </c>
      <c r="E75" t="s">
        <v>214</v>
      </c>
      <c r="F75" t="s">
        <v>215</v>
      </c>
    </row>
    <row r="76" spans="1:6" x14ac:dyDescent="0.25">
      <c r="A76">
        <v>10</v>
      </c>
      <c r="B76" t="s">
        <v>222</v>
      </c>
      <c r="C76">
        <f>19304.52+19304.52</f>
        <v>38609.040000000001</v>
      </c>
      <c r="D76">
        <f>17268.02+17098.34</f>
        <v>34366.36</v>
      </c>
      <c r="E76" t="s">
        <v>214</v>
      </c>
      <c r="F76" t="s">
        <v>215</v>
      </c>
    </row>
    <row r="77" spans="1:6" x14ac:dyDescent="0.25">
      <c r="A77">
        <v>10</v>
      </c>
      <c r="B77" t="s">
        <v>223</v>
      </c>
      <c r="C77">
        <f>434.91+434.91</f>
        <v>869.82</v>
      </c>
      <c r="D77">
        <f t="shared" ref="D77:D82" si="6">+C77</f>
        <v>869.82</v>
      </c>
      <c r="E77" t="s">
        <v>214</v>
      </c>
      <c r="F77" t="s">
        <v>215</v>
      </c>
    </row>
    <row r="78" spans="1:6" x14ac:dyDescent="0.25">
      <c r="A78">
        <v>10</v>
      </c>
      <c r="B78" t="s">
        <v>224</v>
      </c>
      <c r="C78">
        <f>322.48+322.48</f>
        <v>644.96</v>
      </c>
      <c r="D78">
        <f t="shared" si="6"/>
        <v>644.96</v>
      </c>
      <c r="E78" t="s">
        <v>214</v>
      </c>
      <c r="F78" t="s">
        <v>215</v>
      </c>
    </row>
    <row r="79" spans="1:6" x14ac:dyDescent="0.25">
      <c r="A79">
        <v>10</v>
      </c>
      <c r="B79" t="s">
        <v>225</v>
      </c>
      <c r="C79">
        <f>2633.21+2633.21</f>
        <v>5266.42</v>
      </c>
      <c r="D79">
        <f t="shared" si="6"/>
        <v>5266.42</v>
      </c>
      <c r="E79" t="s">
        <v>214</v>
      </c>
      <c r="F79" t="s">
        <v>215</v>
      </c>
    </row>
    <row r="80" spans="1:6" x14ac:dyDescent="0.25">
      <c r="A80">
        <v>10</v>
      </c>
      <c r="B80" t="s">
        <v>226</v>
      </c>
      <c r="C80">
        <f>655.75+655.75</f>
        <v>1311.5</v>
      </c>
      <c r="D80">
        <f t="shared" si="6"/>
        <v>1311.5</v>
      </c>
      <c r="E80" t="s">
        <v>214</v>
      </c>
      <c r="F80" t="s">
        <v>215</v>
      </c>
    </row>
    <row r="81" spans="1:6" x14ac:dyDescent="0.25">
      <c r="A81">
        <v>10</v>
      </c>
      <c r="B81" t="s">
        <v>227</v>
      </c>
      <c r="C81">
        <f>5596.97+5596.97</f>
        <v>11193.94</v>
      </c>
      <c r="D81">
        <f>5006.53+4957.33</f>
        <v>9963.86</v>
      </c>
      <c r="E81" t="s">
        <v>214</v>
      </c>
      <c r="F81" t="s">
        <v>215</v>
      </c>
    </row>
    <row r="82" spans="1:6" x14ac:dyDescent="0.25">
      <c r="A82">
        <v>10</v>
      </c>
      <c r="B82" t="s">
        <v>228</v>
      </c>
      <c r="C82">
        <f>533.7+533.7</f>
        <v>1067.4000000000001</v>
      </c>
      <c r="D82">
        <f t="shared" si="6"/>
        <v>1067.4000000000001</v>
      </c>
      <c r="E82" t="s">
        <v>214</v>
      </c>
      <c r="F82" t="s">
        <v>215</v>
      </c>
    </row>
    <row r="83" spans="1:6" x14ac:dyDescent="0.25">
      <c r="A83">
        <v>10</v>
      </c>
      <c r="B83" t="s">
        <v>229</v>
      </c>
      <c r="C83">
        <f>185.12+185.12</f>
        <v>370.24</v>
      </c>
      <c r="D83">
        <f>165.59+163.96</f>
        <v>329.55</v>
      </c>
      <c r="E83" t="s">
        <v>214</v>
      </c>
      <c r="F83" t="s">
        <v>215</v>
      </c>
    </row>
    <row r="84" spans="1:6" x14ac:dyDescent="0.25">
      <c r="A84">
        <v>11</v>
      </c>
      <c r="B84" t="s">
        <v>222</v>
      </c>
      <c r="C84">
        <f>23005.92+23005.92</f>
        <v>46011.839999999997</v>
      </c>
      <c r="D84">
        <f>18873.03+18780.76</f>
        <v>37653.789999999994</v>
      </c>
      <c r="E84" t="s">
        <v>214</v>
      </c>
      <c r="F84" t="s">
        <v>215</v>
      </c>
    </row>
    <row r="85" spans="1:6" x14ac:dyDescent="0.25">
      <c r="A85">
        <v>11</v>
      </c>
      <c r="B85" t="s">
        <v>223</v>
      </c>
      <c r="C85">
        <f>439.8+439.8</f>
        <v>879.6</v>
      </c>
      <c r="D85">
        <f t="shared" ref="D85:D90" si="7">+C85</f>
        <v>879.6</v>
      </c>
      <c r="E85" t="s">
        <v>214</v>
      </c>
      <c r="F85" t="s">
        <v>215</v>
      </c>
    </row>
    <row r="86" spans="1:6" x14ac:dyDescent="0.25">
      <c r="A86">
        <v>11</v>
      </c>
      <c r="B86" t="s">
        <v>224</v>
      </c>
      <c r="C86">
        <f>326.1+326.1</f>
        <v>652.20000000000005</v>
      </c>
      <c r="D86">
        <f t="shared" si="7"/>
        <v>652.20000000000005</v>
      </c>
      <c r="E86" t="s">
        <v>214</v>
      </c>
      <c r="F86" t="s">
        <v>215</v>
      </c>
    </row>
    <row r="87" spans="1:6" x14ac:dyDescent="0.25">
      <c r="A87">
        <v>11</v>
      </c>
      <c r="B87" t="s">
        <v>225</v>
      </c>
      <c r="C87">
        <f>2662.8+2662.8</f>
        <v>5325.6</v>
      </c>
      <c r="D87">
        <f t="shared" si="7"/>
        <v>5325.6</v>
      </c>
      <c r="E87" t="s">
        <v>214</v>
      </c>
      <c r="F87" t="s">
        <v>215</v>
      </c>
    </row>
    <row r="88" spans="1:6" x14ac:dyDescent="0.25">
      <c r="A88">
        <v>11</v>
      </c>
      <c r="B88" t="s">
        <v>226</v>
      </c>
      <c r="C88">
        <f>663.12+663.12</f>
        <v>1326.24</v>
      </c>
      <c r="D88">
        <f t="shared" si="7"/>
        <v>1326.24</v>
      </c>
      <c r="E88" t="s">
        <v>214</v>
      </c>
      <c r="F88" t="s">
        <v>215</v>
      </c>
    </row>
    <row r="89" spans="1:6" x14ac:dyDescent="0.25">
      <c r="A89">
        <v>11</v>
      </c>
      <c r="B89" t="s">
        <v>227</v>
      </c>
      <c r="C89">
        <f>44101.34+35740.44</f>
        <v>79841.78</v>
      </c>
      <c r="D89">
        <f>36178.77+29176.52</f>
        <v>65355.289999999994</v>
      </c>
      <c r="E89" t="s">
        <v>214</v>
      </c>
      <c r="F89" t="s">
        <v>215</v>
      </c>
    </row>
    <row r="90" spans="1:6" x14ac:dyDescent="0.25">
      <c r="A90">
        <v>11</v>
      </c>
      <c r="B90" t="s">
        <v>228</v>
      </c>
      <c r="C90">
        <f>539.7+539.7</f>
        <v>1079.4000000000001</v>
      </c>
      <c r="D90">
        <f t="shared" si="7"/>
        <v>1079.4000000000001</v>
      </c>
      <c r="E90" t="s">
        <v>214</v>
      </c>
      <c r="F90" t="s">
        <v>215</v>
      </c>
    </row>
    <row r="91" spans="1:6" x14ac:dyDescent="0.25">
      <c r="A91">
        <v>11</v>
      </c>
      <c r="B91" t="s">
        <v>229</v>
      </c>
      <c r="C91">
        <f>4685.82+4685.82</f>
        <v>9371.64</v>
      </c>
      <c r="D91">
        <f>3844.04+3825.24</f>
        <v>7669.28</v>
      </c>
      <c r="E91" t="s">
        <v>214</v>
      </c>
      <c r="F91" t="s">
        <v>215</v>
      </c>
    </row>
    <row r="92" spans="1:6" x14ac:dyDescent="0.25">
      <c r="A92">
        <v>12</v>
      </c>
      <c r="B92" t="s">
        <v>222</v>
      </c>
      <c r="C92">
        <f>18870.71+18436.91</f>
        <v>37307.619999999995</v>
      </c>
      <c r="D92">
        <f>17768.28+17302.62</f>
        <v>35070.899999999994</v>
      </c>
      <c r="E92" t="s">
        <v>214</v>
      </c>
      <c r="F92" t="s">
        <v>215</v>
      </c>
    </row>
    <row r="93" spans="1:6" x14ac:dyDescent="0.25">
      <c r="A93">
        <v>12</v>
      </c>
      <c r="B93" t="s">
        <v>223</v>
      </c>
      <c r="C93">
        <f>425.14+415.36</f>
        <v>840.5</v>
      </c>
      <c r="D93">
        <f t="shared" ref="D93:D98" si="8">+C93</f>
        <v>840.5</v>
      </c>
      <c r="E93" t="s">
        <v>214</v>
      </c>
      <c r="F93" t="s">
        <v>215</v>
      </c>
    </row>
    <row r="94" spans="1:6" x14ac:dyDescent="0.25">
      <c r="A94">
        <v>12</v>
      </c>
      <c r="B94" t="s">
        <v>224</v>
      </c>
      <c r="C94">
        <f>315.23+307.99</f>
        <v>623.22</v>
      </c>
      <c r="D94">
        <f t="shared" si="8"/>
        <v>623.22</v>
      </c>
      <c r="E94" t="s">
        <v>214</v>
      </c>
      <c r="F94" t="s">
        <v>215</v>
      </c>
    </row>
    <row r="95" spans="1:6" x14ac:dyDescent="0.25">
      <c r="A95">
        <v>12</v>
      </c>
      <c r="B95" t="s">
        <v>225</v>
      </c>
      <c r="C95">
        <f>2574.04+2514.86</f>
        <v>5088.8999999999996</v>
      </c>
      <c r="D95">
        <f t="shared" si="8"/>
        <v>5088.8999999999996</v>
      </c>
      <c r="E95" t="s">
        <v>214</v>
      </c>
      <c r="F95" t="s">
        <v>215</v>
      </c>
    </row>
    <row r="96" spans="1:6" x14ac:dyDescent="0.25">
      <c r="A96">
        <v>12</v>
      </c>
      <c r="B96" t="s">
        <v>226</v>
      </c>
      <c r="C96">
        <f>641.01+626.27</f>
        <v>1267.28</v>
      </c>
      <c r="D96">
        <f t="shared" si="8"/>
        <v>1267.28</v>
      </c>
      <c r="E96" t="s">
        <v>214</v>
      </c>
      <c r="F96" t="s">
        <v>215</v>
      </c>
    </row>
    <row r="97" spans="1:6" x14ac:dyDescent="0.25">
      <c r="A97">
        <v>12</v>
      </c>
      <c r="B97" t="s">
        <v>227</v>
      </c>
      <c r="C97">
        <v>0</v>
      </c>
      <c r="D97">
        <v>0</v>
      </c>
      <c r="E97" t="s">
        <v>214</v>
      </c>
      <c r="F97" t="s">
        <v>215</v>
      </c>
    </row>
    <row r="98" spans="1:6" x14ac:dyDescent="0.25">
      <c r="A98">
        <v>12</v>
      </c>
      <c r="B98" t="s">
        <v>228</v>
      </c>
      <c r="C98">
        <f>521.71+509.71</f>
        <v>1031.42</v>
      </c>
      <c r="D98">
        <f t="shared" si="8"/>
        <v>1031.42</v>
      </c>
      <c r="E98" t="s">
        <v>214</v>
      </c>
      <c r="F98" t="s">
        <v>215</v>
      </c>
    </row>
    <row r="99" spans="1:6" x14ac:dyDescent="0.25">
      <c r="A99">
        <v>12</v>
      </c>
      <c r="B99" t="s">
        <v>229</v>
      </c>
      <c r="C99">
        <f>180.96+176.8</f>
        <v>357.76</v>
      </c>
      <c r="D99">
        <f>170.39+165.92</f>
        <v>336.30999999999995</v>
      </c>
      <c r="E99" t="s">
        <v>214</v>
      </c>
      <c r="F99" t="s">
        <v>215</v>
      </c>
    </row>
    <row r="100" spans="1:6" x14ac:dyDescent="0.25">
      <c r="A100">
        <v>13</v>
      </c>
      <c r="B100" t="s">
        <v>222</v>
      </c>
      <c r="C100">
        <f>21869.67+22115.4</f>
        <v>43985.07</v>
      </c>
      <c r="D100">
        <f>19559.11+19573.8</f>
        <v>39132.910000000003</v>
      </c>
      <c r="E100" t="s">
        <v>214</v>
      </c>
      <c r="F100" t="s">
        <v>215</v>
      </c>
    </row>
    <row r="101" spans="1:6" x14ac:dyDescent="0.25">
      <c r="A101">
        <v>13</v>
      </c>
      <c r="B101" t="s">
        <v>223</v>
      </c>
      <c r="C101">
        <f>434.91+439.8</f>
        <v>874.71</v>
      </c>
      <c r="D101">
        <f t="shared" ref="D101:D106" si="9">+C101</f>
        <v>874.71</v>
      </c>
      <c r="E101" t="s">
        <v>214</v>
      </c>
      <c r="F101" t="s">
        <v>215</v>
      </c>
    </row>
    <row r="102" spans="1:6" x14ac:dyDescent="0.25">
      <c r="A102">
        <v>13</v>
      </c>
      <c r="B102" t="s">
        <v>224</v>
      </c>
      <c r="C102">
        <f>322.48+326.1</f>
        <v>648.58000000000004</v>
      </c>
      <c r="D102">
        <f t="shared" si="9"/>
        <v>648.58000000000004</v>
      </c>
      <c r="E102" t="s">
        <v>214</v>
      </c>
      <c r="F102" t="s">
        <v>215</v>
      </c>
    </row>
    <row r="103" spans="1:6" x14ac:dyDescent="0.25">
      <c r="A103">
        <v>13</v>
      </c>
      <c r="B103" t="s">
        <v>225</v>
      </c>
      <c r="C103">
        <f>2633.21+2662.8</f>
        <v>5296.01</v>
      </c>
      <c r="D103">
        <f t="shared" si="9"/>
        <v>5296.01</v>
      </c>
      <c r="E103" t="s">
        <v>214</v>
      </c>
      <c r="F103" t="s">
        <v>215</v>
      </c>
    </row>
    <row r="104" spans="1:6" x14ac:dyDescent="0.25">
      <c r="A104">
        <v>13</v>
      </c>
      <c r="B104" t="s">
        <v>226</v>
      </c>
      <c r="C104">
        <f>655.75+663.12</f>
        <v>1318.87</v>
      </c>
      <c r="D104">
        <f t="shared" si="9"/>
        <v>1318.87</v>
      </c>
      <c r="E104" t="s">
        <v>214</v>
      </c>
      <c r="F104" t="s">
        <v>215</v>
      </c>
    </row>
    <row r="105" spans="1:6" x14ac:dyDescent="0.25">
      <c r="A105">
        <v>13</v>
      </c>
      <c r="B105" t="s">
        <v>227</v>
      </c>
      <c r="C105">
        <f>3031.81+3065.88</f>
        <v>6097.6900000000005</v>
      </c>
      <c r="D105">
        <f>2711.5+2713.54</f>
        <v>5425.04</v>
      </c>
      <c r="E105" t="s">
        <v>214</v>
      </c>
      <c r="F105" t="s">
        <v>215</v>
      </c>
    </row>
    <row r="106" spans="1:6" x14ac:dyDescent="0.25">
      <c r="A106">
        <v>13</v>
      </c>
      <c r="B106" t="s">
        <v>228</v>
      </c>
      <c r="C106">
        <f>533.7+539.7</f>
        <v>1073.4000000000001</v>
      </c>
      <c r="D106">
        <f t="shared" si="9"/>
        <v>1073.4000000000001</v>
      </c>
      <c r="E106" t="s">
        <v>214</v>
      </c>
      <c r="F106" t="s">
        <v>215</v>
      </c>
    </row>
    <row r="107" spans="1:6" x14ac:dyDescent="0.25">
      <c r="A107">
        <v>13</v>
      </c>
      <c r="B107" t="s">
        <v>229</v>
      </c>
      <c r="C107">
        <f>185.12+187.2</f>
        <v>372.32</v>
      </c>
      <c r="D107">
        <f>165.56+165.69</f>
        <v>331.25</v>
      </c>
      <c r="E107" t="s">
        <v>214</v>
      </c>
      <c r="F107" t="s">
        <v>215</v>
      </c>
    </row>
    <row r="108" spans="1:6" x14ac:dyDescent="0.25">
      <c r="A108">
        <v>14</v>
      </c>
      <c r="B108" t="s">
        <v>222</v>
      </c>
      <c r="C108">
        <f>19521.42+19521.42</f>
        <v>39042.839999999997</v>
      </c>
      <c r="D108">
        <f>18290.59+18149.3</f>
        <v>36439.89</v>
      </c>
      <c r="E108" t="s">
        <v>214</v>
      </c>
      <c r="F108" t="s">
        <v>215</v>
      </c>
    </row>
    <row r="109" spans="1:6" x14ac:dyDescent="0.25">
      <c r="A109">
        <v>14</v>
      </c>
      <c r="B109" t="s">
        <v>223</v>
      </c>
      <c r="C109">
        <f>439.8+439.8</f>
        <v>879.6</v>
      </c>
      <c r="D109">
        <f t="shared" ref="D109:D122" si="10">+C109</f>
        <v>879.6</v>
      </c>
      <c r="E109" t="s">
        <v>214</v>
      </c>
      <c r="F109" t="s">
        <v>215</v>
      </c>
    </row>
    <row r="110" spans="1:6" x14ac:dyDescent="0.25">
      <c r="A110">
        <v>14</v>
      </c>
      <c r="B110" t="s">
        <v>224</v>
      </c>
      <c r="C110">
        <f>326.1+326.1</f>
        <v>652.20000000000005</v>
      </c>
      <c r="D110">
        <f t="shared" si="10"/>
        <v>652.20000000000005</v>
      </c>
      <c r="E110" t="s">
        <v>214</v>
      </c>
      <c r="F110" t="s">
        <v>215</v>
      </c>
    </row>
    <row r="111" spans="1:6" x14ac:dyDescent="0.25">
      <c r="A111">
        <v>14</v>
      </c>
      <c r="B111" t="s">
        <v>225</v>
      </c>
      <c r="C111">
        <f>2662.8+2662.8</f>
        <v>5325.6</v>
      </c>
      <c r="D111">
        <f t="shared" si="10"/>
        <v>5325.6</v>
      </c>
      <c r="E111" t="s">
        <v>214</v>
      </c>
      <c r="F111" t="s">
        <v>215</v>
      </c>
    </row>
    <row r="112" spans="1:6" x14ac:dyDescent="0.25">
      <c r="A112">
        <v>14</v>
      </c>
      <c r="B112" t="s">
        <v>226</v>
      </c>
      <c r="C112">
        <f>663.12+663.12</f>
        <v>1326.24</v>
      </c>
      <c r="D112">
        <f t="shared" si="10"/>
        <v>1326.24</v>
      </c>
      <c r="E112" t="s">
        <v>214</v>
      </c>
      <c r="F112" t="s">
        <v>215</v>
      </c>
    </row>
    <row r="113" spans="1:6" x14ac:dyDescent="0.25">
      <c r="A113">
        <v>14</v>
      </c>
      <c r="B113" t="s">
        <v>227</v>
      </c>
      <c r="C113">
        <v>0</v>
      </c>
      <c r="D113">
        <v>0</v>
      </c>
      <c r="E113" t="s">
        <v>214</v>
      </c>
      <c r="F113" t="s">
        <v>215</v>
      </c>
    </row>
    <row r="114" spans="1:6" x14ac:dyDescent="0.25">
      <c r="A114">
        <v>14</v>
      </c>
      <c r="B114" t="s">
        <v>228</v>
      </c>
      <c r="C114">
        <f>539.7+539.78</f>
        <v>1079.48</v>
      </c>
      <c r="D114">
        <f t="shared" si="10"/>
        <v>1079.48</v>
      </c>
      <c r="E114" t="s">
        <v>214</v>
      </c>
      <c r="F114" t="s">
        <v>215</v>
      </c>
    </row>
    <row r="115" spans="1:6" x14ac:dyDescent="0.25">
      <c r="A115">
        <v>14</v>
      </c>
      <c r="B115" t="s">
        <v>229</v>
      </c>
      <c r="C115">
        <f>187.2+187.2</f>
        <v>374.4</v>
      </c>
      <c r="D115">
        <f>175.4+174.04</f>
        <v>349.44</v>
      </c>
      <c r="E115" t="s">
        <v>214</v>
      </c>
      <c r="F115" t="s">
        <v>215</v>
      </c>
    </row>
    <row r="116" spans="1:6" x14ac:dyDescent="0.25">
      <c r="A116">
        <v>15</v>
      </c>
      <c r="B116" t="s">
        <v>222</v>
      </c>
      <c r="C116">
        <f>22115.4+22115.4</f>
        <v>44230.8</v>
      </c>
      <c r="D116">
        <f>19760.92+19573.8</f>
        <v>39334.720000000001</v>
      </c>
      <c r="E116" t="s">
        <v>214</v>
      </c>
      <c r="F116" t="s">
        <v>215</v>
      </c>
    </row>
    <row r="117" spans="1:6" x14ac:dyDescent="0.25">
      <c r="A117">
        <v>15</v>
      </c>
      <c r="B117" t="s">
        <v>223</v>
      </c>
      <c r="C117">
        <f>439.8+439.8</f>
        <v>879.6</v>
      </c>
      <c r="D117">
        <f t="shared" si="10"/>
        <v>879.6</v>
      </c>
      <c r="E117" t="s">
        <v>214</v>
      </c>
      <c r="F117" t="s">
        <v>215</v>
      </c>
    </row>
    <row r="118" spans="1:6" x14ac:dyDescent="0.25">
      <c r="A118">
        <v>15</v>
      </c>
      <c r="B118" t="s">
        <v>224</v>
      </c>
      <c r="C118">
        <f>326.1+326.1</f>
        <v>652.20000000000005</v>
      </c>
      <c r="D118">
        <f t="shared" si="10"/>
        <v>652.20000000000005</v>
      </c>
      <c r="E118" t="s">
        <v>214</v>
      </c>
      <c r="F118" t="s">
        <v>215</v>
      </c>
    </row>
    <row r="119" spans="1:6" x14ac:dyDescent="0.25">
      <c r="A119">
        <v>15</v>
      </c>
      <c r="B119" t="s">
        <v>225</v>
      </c>
      <c r="C119">
        <f>2662.8+2662.8</f>
        <v>5325.6</v>
      </c>
      <c r="D119">
        <f t="shared" si="10"/>
        <v>5325.6</v>
      </c>
      <c r="E119" t="s">
        <v>214</v>
      </c>
      <c r="F119" t="s">
        <v>215</v>
      </c>
    </row>
    <row r="120" spans="1:6" x14ac:dyDescent="0.25">
      <c r="A120">
        <v>15</v>
      </c>
      <c r="B120" t="s">
        <v>226</v>
      </c>
      <c r="C120">
        <f>663.12+663.12</f>
        <v>1326.24</v>
      </c>
      <c r="D120">
        <f t="shared" si="10"/>
        <v>1326.24</v>
      </c>
      <c r="E120" t="s">
        <v>214</v>
      </c>
      <c r="F120" t="s">
        <v>215</v>
      </c>
    </row>
    <row r="121" spans="1:6" x14ac:dyDescent="0.25">
      <c r="A121">
        <v>15</v>
      </c>
      <c r="B121" t="s">
        <v>227</v>
      </c>
      <c r="C121">
        <f>3065.88+3065.88</f>
        <v>6131.76</v>
      </c>
      <c r="D121">
        <f>2739.48+2713.54</f>
        <v>5453.02</v>
      </c>
      <c r="E121" t="s">
        <v>214</v>
      </c>
      <c r="F121" t="s">
        <v>215</v>
      </c>
    </row>
    <row r="122" spans="1:6" x14ac:dyDescent="0.25">
      <c r="A122">
        <v>15</v>
      </c>
      <c r="B122" t="s">
        <v>228</v>
      </c>
      <c r="C122">
        <f>539.7+539.7</f>
        <v>1079.4000000000001</v>
      </c>
      <c r="D122">
        <f t="shared" si="10"/>
        <v>1079.4000000000001</v>
      </c>
      <c r="E122" t="s">
        <v>214</v>
      </c>
      <c r="F122" t="s">
        <v>215</v>
      </c>
    </row>
    <row r="123" spans="1:6" x14ac:dyDescent="0.25">
      <c r="A123">
        <v>15</v>
      </c>
      <c r="B123" t="s">
        <v>229</v>
      </c>
      <c r="C123">
        <f>187.2+187.2</f>
        <v>374.4</v>
      </c>
      <c r="D123">
        <f>167.27+165.69</f>
        <v>332.96000000000004</v>
      </c>
      <c r="E123" t="s">
        <v>214</v>
      </c>
      <c r="F123" t="s">
        <v>215</v>
      </c>
    </row>
    <row r="124" spans="1:6" x14ac:dyDescent="0.25">
      <c r="A124">
        <v>16</v>
      </c>
      <c r="B124" t="s">
        <v>222</v>
      </c>
      <c r="C124">
        <f>22115.4+21869.67</f>
        <v>43985.07</v>
      </c>
      <c r="D124">
        <f>19467.09+19056.32</f>
        <v>38523.410000000003</v>
      </c>
      <c r="E124" t="s">
        <v>214</v>
      </c>
      <c r="F124" t="s">
        <v>215</v>
      </c>
    </row>
    <row r="125" spans="1:6" x14ac:dyDescent="0.25">
      <c r="A125">
        <v>16</v>
      </c>
      <c r="B125" t="s">
        <v>223</v>
      </c>
      <c r="C125">
        <f>439.8+434.91</f>
        <v>874.71</v>
      </c>
      <c r="D125">
        <f t="shared" ref="D125:D130" si="11">+C125</f>
        <v>874.71</v>
      </c>
      <c r="E125" t="s">
        <v>214</v>
      </c>
      <c r="F125" t="s">
        <v>215</v>
      </c>
    </row>
    <row r="126" spans="1:6" x14ac:dyDescent="0.25">
      <c r="A126">
        <v>16</v>
      </c>
      <c r="B126" t="s">
        <v>224</v>
      </c>
      <c r="C126">
        <f>326.1+322.48</f>
        <v>648.58000000000004</v>
      </c>
      <c r="D126">
        <f t="shared" si="11"/>
        <v>648.58000000000004</v>
      </c>
      <c r="E126" t="s">
        <v>214</v>
      </c>
      <c r="F126" t="s">
        <v>215</v>
      </c>
    </row>
    <row r="127" spans="1:6" x14ac:dyDescent="0.25">
      <c r="A127">
        <v>16</v>
      </c>
      <c r="B127" t="s">
        <v>225</v>
      </c>
      <c r="C127">
        <f>2662.8+2633.21</f>
        <v>5296.01</v>
      </c>
      <c r="D127">
        <f t="shared" si="11"/>
        <v>5296.01</v>
      </c>
      <c r="E127" t="s">
        <v>214</v>
      </c>
      <c r="F127" t="s">
        <v>215</v>
      </c>
    </row>
    <row r="128" spans="1:6" x14ac:dyDescent="0.25">
      <c r="A128">
        <v>16</v>
      </c>
      <c r="B128" t="s">
        <v>226</v>
      </c>
      <c r="C128">
        <f>663.12+655.75</f>
        <v>1318.87</v>
      </c>
      <c r="D128">
        <f t="shared" si="11"/>
        <v>1318.87</v>
      </c>
      <c r="E128" t="s">
        <v>214</v>
      </c>
      <c r="F128" t="s">
        <v>215</v>
      </c>
    </row>
    <row r="129" spans="1:6" x14ac:dyDescent="0.25">
      <c r="A129">
        <v>16</v>
      </c>
      <c r="B129" t="s">
        <v>227</v>
      </c>
      <c r="C129">
        <f>9065.88+8965.15</f>
        <v>18031.03</v>
      </c>
      <c r="D129">
        <f>7980.25+7811.86</f>
        <v>15792.11</v>
      </c>
      <c r="E129" t="s">
        <v>214</v>
      </c>
      <c r="F129" t="s">
        <v>215</v>
      </c>
    </row>
    <row r="130" spans="1:6" x14ac:dyDescent="0.25">
      <c r="A130">
        <v>16</v>
      </c>
      <c r="B130" t="s">
        <v>228</v>
      </c>
      <c r="C130">
        <f>539.7+533.7</f>
        <v>1073.4000000000001</v>
      </c>
      <c r="D130">
        <f t="shared" si="11"/>
        <v>1073.4000000000001</v>
      </c>
      <c r="E130" t="s">
        <v>214</v>
      </c>
      <c r="F130" t="s">
        <v>215</v>
      </c>
    </row>
    <row r="131" spans="1:6" x14ac:dyDescent="0.25">
      <c r="A131">
        <v>16</v>
      </c>
      <c r="B131" t="s">
        <v>229</v>
      </c>
      <c r="C131">
        <f>187.2+185.12</f>
        <v>372.32</v>
      </c>
      <c r="D131">
        <f>164.78+161.31</f>
        <v>326.09000000000003</v>
      </c>
      <c r="E131" t="s">
        <v>214</v>
      </c>
      <c r="F131" t="s">
        <v>215</v>
      </c>
    </row>
    <row r="132" spans="1:6" x14ac:dyDescent="0.25">
      <c r="A132">
        <v>17</v>
      </c>
      <c r="B132" t="s">
        <v>222</v>
      </c>
      <c r="C132">
        <v>20194.09</v>
      </c>
      <c r="D132">
        <v>17631.77</v>
      </c>
      <c r="E132" t="s">
        <v>214</v>
      </c>
      <c r="F132" t="s">
        <v>215</v>
      </c>
    </row>
    <row r="133" spans="1:6" x14ac:dyDescent="0.25">
      <c r="A133">
        <v>17</v>
      </c>
      <c r="B133" t="s">
        <v>223</v>
      </c>
      <c r="C133">
        <v>386.05</v>
      </c>
      <c r="D133">
        <f t="shared" ref="D133:D138" si="12">+C133</f>
        <v>386.05</v>
      </c>
      <c r="E133" t="s">
        <v>214</v>
      </c>
      <c r="F133" t="s">
        <v>215</v>
      </c>
    </row>
    <row r="134" spans="1:6" x14ac:dyDescent="0.25">
      <c r="A134">
        <v>17</v>
      </c>
      <c r="B134" t="s">
        <v>224</v>
      </c>
      <c r="C134">
        <v>286.24</v>
      </c>
      <c r="D134">
        <f t="shared" si="12"/>
        <v>286.24</v>
      </c>
      <c r="E134" t="s">
        <v>214</v>
      </c>
      <c r="F134" t="s">
        <v>215</v>
      </c>
    </row>
    <row r="135" spans="1:6" x14ac:dyDescent="0.25">
      <c r="A135">
        <v>17</v>
      </c>
      <c r="B135" t="s">
        <v>225</v>
      </c>
      <c r="C135">
        <v>2337.35</v>
      </c>
      <c r="D135">
        <f t="shared" si="12"/>
        <v>2337.35</v>
      </c>
      <c r="E135" t="s">
        <v>214</v>
      </c>
      <c r="F135" t="s">
        <v>215</v>
      </c>
    </row>
    <row r="136" spans="1:6" x14ac:dyDescent="0.25">
      <c r="A136">
        <v>17</v>
      </c>
      <c r="B136" t="s">
        <v>226</v>
      </c>
      <c r="C136">
        <v>582.07000000000005</v>
      </c>
      <c r="D136">
        <f t="shared" si="12"/>
        <v>582.07000000000005</v>
      </c>
      <c r="E136" t="s">
        <v>214</v>
      </c>
      <c r="F136" t="s">
        <v>215</v>
      </c>
    </row>
    <row r="137" spans="1:6" x14ac:dyDescent="0.25">
      <c r="A137">
        <v>17</v>
      </c>
      <c r="B137" t="s">
        <v>227</v>
      </c>
      <c r="C137">
        <v>0</v>
      </c>
      <c r="D137">
        <v>0</v>
      </c>
      <c r="E137" t="s">
        <v>214</v>
      </c>
      <c r="F137" t="s">
        <v>215</v>
      </c>
    </row>
    <row r="138" spans="1:6" x14ac:dyDescent="0.25">
      <c r="A138">
        <v>17</v>
      </c>
      <c r="B138" t="s">
        <v>228</v>
      </c>
      <c r="C138">
        <v>473.74</v>
      </c>
      <c r="D138">
        <f t="shared" si="12"/>
        <v>473.74</v>
      </c>
      <c r="E138" t="s">
        <v>214</v>
      </c>
      <c r="F138" t="s">
        <v>215</v>
      </c>
    </row>
    <row r="139" spans="1:6" x14ac:dyDescent="0.25">
      <c r="A139">
        <v>17</v>
      </c>
      <c r="B139" t="s">
        <v>229</v>
      </c>
      <c r="C139">
        <v>4113.1099999999997</v>
      </c>
      <c r="D139">
        <v>3591.22</v>
      </c>
      <c r="E139" t="s">
        <v>214</v>
      </c>
      <c r="F139" t="s">
        <v>215</v>
      </c>
    </row>
    <row r="140" spans="1:6" x14ac:dyDescent="0.25">
      <c r="A140">
        <v>18</v>
      </c>
      <c r="B140" t="s">
        <v>222</v>
      </c>
      <c r="C140">
        <f>101978.4+101978.4</f>
        <v>203956.8</v>
      </c>
      <c r="D140">
        <f>80408.22+80233.62</f>
        <v>160641.84</v>
      </c>
      <c r="E140" t="s">
        <v>214</v>
      </c>
      <c r="F140" t="s">
        <v>215</v>
      </c>
    </row>
    <row r="141" spans="1:6" x14ac:dyDescent="0.25">
      <c r="A141">
        <v>18</v>
      </c>
      <c r="B141" t="s">
        <v>223</v>
      </c>
      <c r="C141">
        <v>0</v>
      </c>
      <c r="D141">
        <v>0</v>
      </c>
      <c r="E141" t="s">
        <v>214</v>
      </c>
      <c r="F141" t="s">
        <v>215</v>
      </c>
    </row>
    <row r="142" spans="1:6" x14ac:dyDescent="0.25">
      <c r="A142">
        <v>18</v>
      </c>
      <c r="B142" t="s">
        <v>224</v>
      </c>
      <c r="C142">
        <v>0</v>
      </c>
      <c r="D142">
        <v>0</v>
      </c>
      <c r="E142" t="s">
        <v>214</v>
      </c>
      <c r="F142" t="s">
        <v>215</v>
      </c>
    </row>
    <row r="143" spans="1:6" x14ac:dyDescent="0.25">
      <c r="A143">
        <v>18</v>
      </c>
      <c r="B143" t="s">
        <v>225</v>
      </c>
      <c r="C143">
        <v>0</v>
      </c>
      <c r="D143">
        <v>0</v>
      </c>
      <c r="E143" t="s">
        <v>214</v>
      </c>
      <c r="F143" t="s">
        <v>215</v>
      </c>
    </row>
    <row r="144" spans="1:6" x14ac:dyDescent="0.25">
      <c r="A144">
        <v>18</v>
      </c>
      <c r="B144" t="s">
        <v>226</v>
      </c>
      <c r="C144">
        <v>0</v>
      </c>
      <c r="D144">
        <v>0</v>
      </c>
      <c r="E144" t="s">
        <v>214</v>
      </c>
      <c r="F144" t="s">
        <v>215</v>
      </c>
    </row>
    <row r="145" spans="1:6" x14ac:dyDescent="0.25">
      <c r="A145">
        <v>18</v>
      </c>
      <c r="B145" t="s">
        <v>227</v>
      </c>
      <c r="C145">
        <v>0</v>
      </c>
      <c r="D145">
        <v>0</v>
      </c>
      <c r="E145" t="s">
        <v>214</v>
      </c>
      <c r="F145" t="s">
        <v>215</v>
      </c>
    </row>
    <row r="146" spans="1:6" x14ac:dyDescent="0.25">
      <c r="A146">
        <v>18</v>
      </c>
      <c r="B146" t="s">
        <v>228</v>
      </c>
      <c r="C146">
        <v>0</v>
      </c>
      <c r="D146">
        <v>0</v>
      </c>
      <c r="E146" t="s">
        <v>214</v>
      </c>
      <c r="F146" t="s">
        <v>215</v>
      </c>
    </row>
    <row r="147" spans="1:6" x14ac:dyDescent="0.25">
      <c r="A147">
        <v>18</v>
      </c>
      <c r="B147" t="s">
        <v>229</v>
      </c>
      <c r="C147">
        <v>0</v>
      </c>
      <c r="D147">
        <v>0</v>
      </c>
      <c r="E147" t="s">
        <v>214</v>
      </c>
      <c r="F147" t="s">
        <v>215</v>
      </c>
    </row>
    <row r="148" spans="1:6" x14ac:dyDescent="0.25">
      <c r="A148">
        <v>19</v>
      </c>
      <c r="B148" t="s">
        <v>222</v>
      </c>
      <c r="C148">
        <f>21009.3+20542.42</f>
        <v>41551.72</v>
      </c>
      <c r="D148">
        <f>19489.18+18960.91</f>
        <v>38450.089999999997</v>
      </c>
      <c r="E148" t="s">
        <v>214</v>
      </c>
      <c r="F148" t="s">
        <v>215</v>
      </c>
    </row>
    <row r="149" spans="1:6" x14ac:dyDescent="0.25">
      <c r="A149">
        <v>19</v>
      </c>
      <c r="B149" t="s">
        <v>223</v>
      </c>
      <c r="C149">
        <f>439.8+430.02</f>
        <v>869.81999999999994</v>
      </c>
      <c r="D149">
        <f t="shared" ref="D149:D154" si="13">+C149</f>
        <v>869.81999999999994</v>
      </c>
      <c r="E149" t="s">
        <v>214</v>
      </c>
      <c r="F149" t="s">
        <v>215</v>
      </c>
    </row>
    <row r="150" spans="1:6" x14ac:dyDescent="0.25">
      <c r="A150">
        <v>19</v>
      </c>
      <c r="B150" t="s">
        <v>224</v>
      </c>
      <c r="C150">
        <f>326.1+318.86</f>
        <v>644.96</v>
      </c>
      <c r="D150">
        <f t="shared" si="13"/>
        <v>644.96</v>
      </c>
      <c r="E150" t="s">
        <v>214</v>
      </c>
      <c r="F150" t="s">
        <v>215</v>
      </c>
    </row>
    <row r="151" spans="1:6" x14ac:dyDescent="0.25">
      <c r="A151">
        <v>19</v>
      </c>
      <c r="B151" t="s">
        <v>225</v>
      </c>
      <c r="C151">
        <f>2662.8+2603.62</f>
        <v>5266.42</v>
      </c>
      <c r="D151">
        <f t="shared" si="13"/>
        <v>5266.42</v>
      </c>
      <c r="E151" t="s">
        <v>214</v>
      </c>
      <c r="F151" t="s">
        <v>215</v>
      </c>
    </row>
    <row r="152" spans="1:6" x14ac:dyDescent="0.25">
      <c r="A152">
        <v>19</v>
      </c>
      <c r="B152" t="s">
        <v>226</v>
      </c>
      <c r="C152">
        <f>663.12+648.38</f>
        <v>1311.5</v>
      </c>
      <c r="D152">
        <f t="shared" si="13"/>
        <v>1311.5</v>
      </c>
      <c r="E152" t="s">
        <v>214</v>
      </c>
      <c r="F152" t="s">
        <v>215</v>
      </c>
    </row>
    <row r="153" spans="1:6" x14ac:dyDescent="0.25">
      <c r="A153">
        <v>19</v>
      </c>
      <c r="B153" t="s">
        <v>227</v>
      </c>
      <c r="C153">
        <v>0</v>
      </c>
      <c r="D153">
        <v>0</v>
      </c>
      <c r="E153" t="s">
        <v>214</v>
      </c>
      <c r="F153" t="s">
        <v>215</v>
      </c>
    </row>
    <row r="154" spans="1:6" x14ac:dyDescent="0.25">
      <c r="A154">
        <v>19</v>
      </c>
      <c r="B154" t="s">
        <v>228</v>
      </c>
      <c r="C154">
        <f>539.7+527.7</f>
        <v>1067.4000000000001</v>
      </c>
      <c r="D154">
        <f t="shared" si="13"/>
        <v>1067.4000000000001</v>
      </c>
      <c r="E154" t="s">
        <v>214</v>
      </c>
      <c r="F154" t="s">
        <v>215</v>
      </c>
    </row>
    <row r="155" spans="1:6" x14ac:dyDescent="0.25">
      <c r="A155">
        <v>19</v>
      </c>
      <c r="B155" t="s">
        <v>229</v>
      </c>
      <c r="C155">
        <f>187.2+183.04</f>
        <v>370.24</v>
      </c>
      <c r="D155">
        <f>173.66+168.95</f>
        <v>342.61</v>
      </c>
      <c r="E155" t="s">
        <v>214</v>
      </c>
      <c r="F155" t="s">
        <v>215</v>
      </c>
    </row>
    <row r="156" spans="1:6" x14ac:dyDescent="0.25">
      <c r="A156">
        <v>20</v>
      </c>
      <c r="B156" t="s">
        <v>222</v>
      </c>
      <c r="C156">
        <f>19521.42+19304.52</f>
        <v>38825.94</v>
      </c>
      <c r="D156">
        <f>17453.84+17105.83</f>
        <v>34559.67</v>
      </c>
      <c r="E156" t="s">
        <v>214</v>
      </c>
      <c r="F156" t="s">
        <v>215</v>
      </c>
    </row>
    <row r="157" spans="1:6" x14ac:dyDescent="0.25">
      <c r="A157">
        <v>20</v>
      </c>
      <c r="B157" t="s">
        <v>223</v>
      </c>
      <c r="C157">
        <f>439.8+434.91</f>
        <v>874.71</v>
      </c>
      <c r="D157">
        <f t="shared" ref="D157:D162" si="14">+C157</f>
        <v>874.71</v>
      </c>
      <c r="E157" t="s">
        <v>214</v>
      </c>
      <c r="F157" t="s">
        <v>215</v>
      </c>
    </row>
    <row r="158" spans="1:6" x14ac:dyDescent="0.25">
      <c r="A158">
        <v>20</v>
      </c>
      <c r="B158" t="s">
        <v>224</v>
      </c>
      <c r="C158">
        <f>326.1+322.48</f>
        <v>648.58000000000004</v>
      </c>
      <c r="D158">
        <f t="shared" si="14"/>
        <v>648.58000000000004</v>
      </c>
      <c r="E158" t="s">
        <v>214</v>
      </c>
      <c r="F158" t="s">
        <v>215</v>
      </c>
    </row>
    <row r="159" spans="1:6" x14ac:dyDescent="0.25">
      <c r="A159">
        <v>20</v>
      </c>
      <c r="B159" t="s">
        <v>225</v>
      </c>
      <c r="C159">
        <f>2662.8+2633.21</f>
        <v>5296.01</v>
      </c>
      <c r="D159">
        <f t="shared" si="14"/>
        <v>5296.01</v>
      </c>
      <c r="E159" t="s">
        <v>214</v>
      </c>
      <c r="F159" t="s">
        <v>215</v>
      </c>
    </row>
    <row r="160" spans="1:6" x14ac:dyDescent="0.25">
      <c r="A160">
        <v>20</v>
      </c>
      <c r="B160" t="s">
        <v>226</v>
      </c>
      <c r="C160">
        <f>663.12+655.75</f>
        <v>1318.87</v>
      </c>
      <c r="D160">
        <f t="shared" si="14"/>
        <v>1318.87</v>
      </c>
      <c r="E160" t="s">
        <v>214</v>
      </c>
      <c r="F160" t="s">
        <v>215</v>
      </c>
    </row>
    <row r="161" spans="1:6" x14ac:dyDescent="0.25">
      <c r="A161">
        <v>20</v>
      </c>
      <c r="B161" t="s">
        <v>227</v>
      </c>
      <c r="C161">
        <f>5659.86+5596.97</f>
        <v>11256.83</v>
      </c>
      <c r="D161">
        <f>5060.41+4959.5</f>
        <v>10019.91</v>
      </c>
      <c r="E161" t="s">
        <v>214</v>
      </c>
      <c r="F161" t="s">
        <v>215</v>
      </c>
    </row>
    <row r="162" spans="1:6" x14ac:dyDescent="0.25">
      <c r="A162">
        <v>20</v>
      </c>
      <c r="B162" t="s">
        <v>228</v>
      </c>
      <c r="C162">
        <f>539.7+533.7</f>
        <v>1073.4000000000001</v>
      </c>
      <c r="D162">
        <f t="shared" si="14"/>
        <v>1073.4000000000001</v>
      </c>
      <c r="E162" t="s">
        <v>214</v>
      </c>
      <c r="F162" t="s">
        <v>215</v>
      </c>
    </row>
    <row r="163" spans="1:6" x14ac:dyDescent="0.25">
      <c r="A163">
        <v>20</v>
      </c>
      <c r="B163" t="s">
        <v>229</v>
      </c>
      <c r="C163">
        <f>187.2+185.12</f>
        <v>372.32</v>
      </c>
      <c r="D163">
        <f>167.37+164.04</f>
        <v>331.40999999999997</v>
      </c>
      <c r="E163" t="s">
        <v>214</v>
      </c>
      <c r="F163" t="s">
        <v>215</v>
      </c>
    </row>
    <row r="164" spans="1:6" x14ac:dyDescent="0.25">
      <c r="A164">
        <v>21</v>
      </c>
      <c r="B164" t="s">
        <v>222</v>
      </c>
      <c r="C164">
        <f>22115.4+21623.94</f>
        <v>43739.34</v>
      </c>
      <c r="D164">
        <f>19128.94+18717.94</f>
        <v>37846.879999999997</v>
      </c>
      <c r="E164" t="s">
        <v>214</v>
      </c>
      <c r="F164" t="s">
        <v>215</v>
      </c>
    </row>
    <row r="165" spans="1:6" x14ac:dyDescent="0.25">
      <c r="A165">
        <v>21</v>
      </c>
      <c r="B165" t="s">
        <v>223</v>
      </c>
      <c r="C165">
        <f>439.8+430.02</f>
        <v>869.81999999999994</v>
      </c>
      <c r="D165">
        <f t="shared" ref="D165:D170" si="15">+C165</f>
        <v>869.81999999999994</v>
      </c>
      <c r="E165" t="s">
        <v>214</v>
      </c>
      <c r="F165" t="s">
        <v>215</v>
      </c>
    </row>
    <row r="166" spans="1:6" x14ac:dyDescent="0.25">
      <c r="A166">
        <v>21</v>
      </c>
      <c r="B166" t="s">
        <v>224</v>
      </c>
      <c r="C166">
        <f>326.1+318.86</f>
        <v>644.96</v>
      </c>
      <c r="D166">
        <f t="shared" si="15"/>
        <v>644.96</v>
      </c>
      <c r="E166" t="s">
        <v>214</v>
      </c>
      <c r="F166" t="s">
        <v>215</v>
      </c>
    </row>
    <row r="167" spans="1:6" x14ac:dyDescent="0.25">
      <c r="A167">
        <v>21</v>
      </c>
      <c r="B167" t="s">
        <v>225</v>
      </c>
      <c r="C167">
        <f>2662.8+2603.62</f>
        <v>5266.42</v>
      </c>
      <c r="D167">
        <f t="shared" si="15"/>
        <v>5266.42</v>
      </c>
      <c r="E167" t="s">
        <v>214</v>
      </c>
      <c r="F167" t="s">
        <v>215</v>
      </c>
    </row>
    <row r="168" spans="1:6" x14ac:dyDescent="0.25">
      <c r="A168">
        <v>21</v>
      </c>
      <c r="B168" t="s">
        <v>226</v>
      </c>
      <c r="C168">
        <f>663.12+648.38</f>
        <v>1311.5</v>
      </c>
      <c r="D168">
        <f t="shared" si="15"/>
        <v>1311.5</v>
      </c>
      <c r="E168" t="s">
        <v>214</v>
      </c>
      <c r="F168" t="s">
        <v>215</v>
      </c>
    </row>
    <row r="169" spans="1:6" x14ac:dyDescent="0.25">
      <c r="A169">
        <v>21</v>
      </c>
      <c r="B169" t="s">
        <v>227</v>
      </c>
      <c r="C169">
        <f>3065.88+2997.74</f>
        <v>6063.62</v>
      </c>
      <c r="D169">
        <f>2651.86+2594.88</f>
        <v>5246.74</v>
      </c>
      <c r="E169" t="s">
        <v>214</v>
      </c>
      <c r="F169" t="s">
        <v>215</v>
      </c>
    </row>
    <row r="170" spans="1:6" x14ac:dyDescent="0.25">
      <c r="A170">
        <v>21</v>
      </c>
      <c r="B170" t="s">
        <v>228</v>
      </c>
      <c r="C170">
        <f>539.7+527.7</f>
        <v>1067.4000000000001</v>
      </c>
      <c r="D170">
        <f t="shared" si="15"/>
        <v>1067.4000000000001</v>
      </c>
      <c r="E170" t="s">
        <v>214</v>
      </c>
      <c r="F170" t="s">
        <v>215</v>
      </c>
    </row>
    <row r="171" spans="1:6" x14ac:dyDescent="0.25">
      <c r="A171">
        <v>21</v>
      </c>
      <c r="B171" t="s">
        <v>229</v>
      </c>
      <c r="C171">
        <f>187.2+183.04</f>
        <v>370.24</v>
      </c>
      <c r="D171">
        <f>161.92+158.44</f>
        <v>320.36</v>
      </c>
      <c r="E171" t="s">
        <v>214</v>
      </c>
      <c r="F171" t="s">
        <v>215</v>
      </c>
    </row>
    <row r="172" spans="1:6" x14ac:dyDescent="0.25">
      <c r="A172">
        <v>22</v>
      </c>
      <c r="B172" t="s">
        <v>222</v>
      </c>
      <c r="C172">
        <f>19521.42+18870.71</f>
        <v>38392.129999999997</v>
      </c>
      <c r="D172">
        <f>17453.84+16726.7</f>
        <v>34180.54</v>
      </c>
      <c r="E172" t="s">
        <v>214</v>
      </c>
      <c r="F172" t="s">
        <v>215</v>
      </c>
    </row>
    <row r="173" spans="1:6" x14ac:dyDescent="0.25">
      <c r="A173">
        <v>22</v>
      </c>
      <c r="B173" t="s">
        <v>223</v>
      </c>
      <c r="C173">
        <f>439.8+425.14</f>
        <v>864.94</v>
      </c>
      <c r="D173">
        <f t="shared" ref="D173:D178" si="16">+C173</f>
        <v>864.94</v>
      </c>
      <c r="E173" t="s">
        <v>214</v>
      </c>
      <c r="F173" t="s">
        <v>215</v>
      </c>
    </row>
    <row r="174" spans="1:6" x14ac:dyDescent="0.25">
      <c r="A174">
        <v>22</v>
      </c>
      <c r="B174" t="s">
        <v>224</v>
      </c>
      <c r="C174">
        <f>326.1+315.23</f>
        <v>641.33000000000004</v>
      </c>
      <c r="D174">
        <f t="shared" si="16"/>
        <v>641.33000000000004</v>
      </c>
      <c r="E174" t="s">
        <v>214</v>
      </c>
      <c r="F174" t="s">
        <v>215</v>
      </c>
    </row>
    <row r="175" spans="1:6" x14ac:dyDescent="0.25">
      <c r="A175">
        <v>22</v>
      </c>
      <c r="B175" t="s">
        <v>225</v>
      </c>
      <c r="C175">
        <f>2662.8+2574.04</f>
        <v>5236.84</v>
      </c>
      <c r="D175">
        <f t="shared" si="16"/>
        <v>5236.84</v>
      </c>
      <c r="E175" t="s">
        <v>214</v>
      </c>
      <c r="F175" t="s">
        <v>215</v>
      </c>
    </row>
    <row r="176" spans="1:6" x14ac:dyDescent="0.25">
      <c r="A176">
        <v>22</v>
      </c>
      <c r="B176" t="s">
        <v>226</v>
      </c>
      <c r="C176">
        <f>663.12+641.01</f>
        <v>1304.1300000000001</v>
      </c>
      <c r="D176">
        <f t="shared" si="16"/>
        <v>1304.1300000000001</v>
      </c>
      <c r="E176" t="s">
        <v>214</v>
      </c>
      <c r="F176" t="s">
        <v>215</v>
      </c>
    </row>
    <row r="177" spans="1:6" x14ac:dyDescent="0.25">
      <c r="A177">
        <v>22</v>
      </c>
      <c r="B177" t="s">
        <v>227</v>
      </c>
      <c r="C177">
        <f>5659.86+5471.2</f>
        <v>11131.06</v>
      </c>
      <c r="D177">
        <f>5060.41+4849.59</f>
        <v>9910</v>
      </c>
      <c r="E177" t="s">
        <v>214</v>
      </c>
      <c r="F177" t="s">
        <v>215</v>
      </c>
    </row>
    <row r="178" spans="1:6" x14ac:dyDescent="0.25">
      <c r="A178">
        <v>22</v>
      </c>
      <c r="B178" t="s">
        <v>228</v>
      </c>
      <c r="C178">
        <f>539.7+521.71</f>
        <v>1061.4100000000001</v>
      </c>
      <c r="D178">
        <f t="shared" si="16"/>
        <v>1061.4100000000001</v>
      </c>
      <c r="E178" t="s">
        <v>214</v>
      </c>
      <c r="F178" t="s">
        <v>215</v>
      </c>
    </row>
    <row r="179" spans="1:6" x14ac:dyDescent="0.25">
      <c r="A179">
        <v>22</v>
      </c>
      <c r="B179" t="s">
        <v>229</v>
      </c>
      <c r="C179">
        <f>187.2+180.96</f>
        <v>368.15999999999997</v>
      </c>
      <c r="D179">
        <f>167.37+160.4</f>
        <v>327.77</v>
      </c>
      <c r="E179" t="s">
        <v>214</v>
      </c>
      <c r="F179" t="s">
        <v>215</v>
      </c>
    </row>
    <row r="180" spans="1:6" x14ac:dyDescent="0.25">
      <c r="A180">
        <v>23</v>
      </c>
      <c r="B180" t="s">
        <v>222</v>
      </c>
      <c r="C180">
        <f>19375.24+18908.37</f>
        <v>38283.61</v>
      </c>
      <c r="D180">
        <f>17176.34+16595.39</f>
        <v>33771.729999999996</v>
      </c>
      <c r="E180" t="s">
        <v>214</v>
      </c>
      <c r="F180" t="s">
        <v>215</v>
      </c>
    </row>
    <row r="181" spans="1:6" x14ac:dyDescent="0.25">
      <c r="A181">
        <v>23</v>
      </c>
      <c r="B181" t="s">
        <v>223</v>
      </c>
      <c r="C181">
        <f>405.59+395.82</f>
        <v>801.41</v>
      </c>
      <c r="D181">
        <f t="shared" ref="D181:D186" si="17">+C181</f>
        <v>801.41</v>
      </c>
      <c r="E181" t="s">
        <v>214</v>
      </c>
      <c r="F181" t="s">
        <v>215</v>
      </c>
    </row>
    <row r="182" spans="1:6" x14ac:dyDescent="0.25">
      <c r="A182">
        <v>23</v>
      </c>
      <c r="B182" t="s">
        <v>224</v>
      </c>
      <c r="C182">
        <f>300.74+293.49</f>
        <v>594.23</v>
      </c>
      <c r="D182">
        <f t="shared" si="17"/>
        <v>594.23</v>
      </c>
      <c r="E182" t="s">
        <v>214</v>
      </c>
      <c r="F182" t="s">
        <v>215</v>
      </c>
    </row>
    <row r="183" spans="1:6" x14ac:dyDescent="0.25">
      <c r="A183">
        <v>23</v>
      </c>
      <c r="B183" t="s">
        <v>225</v>
      </c>
      <c r="C183">
        <f>2455.69+2396.52</f>
        <v>4852.21</v>
      </c>
      <c r="D183">
        <f t="shared" si="17"/>
        <v>4852.21</v>
      </c>
      <c r="E183" t="s">
        <v>214</v>
      </c>
      <c r="F183" t="s">
        <v>215</v>
      </c>
    </row>
    <row r="184" spans="1:6" x14ac:dyDescent="0.25">
      <c r="A184">
        <v>23</v>
      </c>
      <c r="B184" t="s">
        <v>226</v>
      </c>
      <c r="C184">
        <f>611.53+596.8</f>
        <v>1208.33</v>
      </c>
      <c r="D184">
        <f t="shared" si="17"/>
        <v>1208.33</v>
      </c>
      <c r="E184" t="s">
        <v>214</v>
      </c>
      <c r="F184" t="s">
        <v>215</v>
      </c>
    </row>
    <row r="185" spans="1:6" x14ac:dyDescent="0.25">
      <c r="A185">
        <v>23</v>
      </c>
      <c r="B185" t="s">
        <v>227</v>
      </c>
      <c r="C185">
        <f>9380.84+9154.79</f>
        <v>18535.63</v>
      </c>
      <c r="D185">
        <f>8316.21+8034.93</f>
        <v>16351.14</v>
      </c>
      <c r="E185" t="s">
        <v>214</v>
      </c>
      <c r="F185" t="s">
        <v>215</v>
      </c>
    </row>
    <row r="186" spans="1:6" x14ac:dyDescent="0.25">
      <c r="A186">
        <v>23</v>
      </c>
      <c r="B186" t="s">
        <v>228</v>
      </c>
      <c r="C186">
        <f>497.72+485.73</f>
        <v>983.45</v>
      </c>
      <c r="D186">
        <f t="shared" si="17"/>
        <v>983.45</v>
      </c>
      <c r="E186" t="s">
        <v>214</v>
      </c>
      <c r="F186" t="s">
        <v>215</v>
      </c>
    </row>
    <row r="187" spans="1:6" x14ac:dyDescent="0.25">
      <c r="A187">
        <v>23</v>
      </c>
      <c r="B187" t="s">
        <v>229</v>
      </c>
      <c r="C187">
        <f>172.64+168.48</f>
        <v>341.12</v>
      </c>
      <c r="D187">
        <f>153.05+147.87</f>
        <v>300.92</v>
      </c>
      <c r="E187" t="s">
        <v>214</v>
      </c>
      <c r="F187" t="s">
        <v>215</v>
      </c>
    </row>
    <row r="188" spans="1:6" x14ac:dyDescent="0.25">
      <c r="A188">
        <v>24</v>
      </c>
      <c r="B188" t="s">
        <v>222</v>
      </c>
      <c r="C188">
        <f>101978.4+101978.4</f>
        <v>203956.8</v>
      </c>
      <c r="D188">
        <f>80408.22+80233.62</f>
        <v>160641.84</v>
      </c>
      <c r="E188" t="s">
        <v>214</v>
      </c>
      <c r="F188" t="s">
        <v>215</v>
      </c>
    </row>
    <row r="189" spans="1:6" x14ac:dyDescent="0.25">
      <c r="A189">
        <v>24</v>
      </c>
      <c r="B189" t="s">
        <v>223</v>
      </c>
      <c r="C189">
        <v>0</v>
      </c>
      <c r="D189">
        <v>0</v>
      </c>
      <c r="E189" t="s">
        <v>214</v>
      </c>
      <c r="F189" t="s">
        <v>215</v>
      </c>
    </row>
    <row r="190" spans="1:6" x14ac:dyDescent="0.25">
      <c r="A190">
        <v>24</v>
      </c>
      <c r="B190" t="s">
        <v>224</v>
      </c>
      <c r="C190">
        <v>0</v>
      </c>
      <c r="D190">
        <v>0</v>
      </c>
      <c r="E190" t="s">
        <v>214</v>
      </c>
      <c r="F190" t="s">
        <v>215</v>
      </c>
    </row>
    <row r="191" spans="1:6" x14ac:dyDescent="0.25">
      <c r="A191">
        <v>24</v>
      </c>
      <c r="B191" t="s">
        <v>225</v>
      </c>
      <c r="C191">
        <v>0</v>
      </c>
      <c r="D191">
        <v>0</v>
      </c>
      <c r="E191" t="s">
        <v>214</v>
      </c>
      <c r="F191" t="s">
        <v>215</v>
      </c>
    </row>
    <row r="192" spans="1:6" x14ac:dyDescent="0.25">
      <c r="A192">
        <v>24</v>
      </c>
      <c r="B192" t="s">
        <v>226</v>
      </c>
      <c r="C192">
        <v>0</v>
      </c>
      <c r="D192">
        <v>0</v>
      </c>
      <c r="E192" t="s">
        <v>214</v>
      </c>
      <c r="F192" t="s">
        <v>215</v>
      </c>
    </row>
    <row r="193" spans="1:6" x14ac:dyDescent="0.25">
      <c r="A193">
        <v>24</v>
      </c>
      <c r="B193" t="s">
        <v>227</v>
      </c>
      <c r="C193">
        <v>0</v>
      </c>
      <c r="D193">
        <v>0</v>
      </c>
      <c r="E193" t="s">
        <v>214</v>
      </c>
      <c r="F193" t="s">
        <v>215</v>
      </c>
    </row>
    <row r="194" spans="1:6" x14ac:dyDescent="0.25">
      <c r="A194">
        <v>24</v>
      </c>
      <c r="B194" t="s">
        <v>228</v>
      </c>
      <c r="C194">
        <v>0</v>
      </c>
      <c r="D194">
        <v>0</v>
      </c>
      <c r="E194" t="s">
        <v>214</v>
      </c>
      <c r="F194" t="s">
        <v>215</v>
      </c>
    </row>
    <row r="195" spans="1:6" x14ac:dyDescent="0.25">
      <c r="A195">
        <v>24</v>
      </c>
      <c r="B195" t="s">
        <v>229</v>
      </c>
      <c r="C195">
        <v>0</v>
      </c>
      <c r="D195">
        <v>0</v>
      </c>
      <c r="E195" t="s">
        <v>214</v>
      </c>
      <c r="F195" t="s">
        <v>215</v>
      </c>
    </row>
    <row r="196" spans="1:6" x14ac:dyDescent="0.25">
      <c r="A196">
        <v>25</v>
      </c>
      <c r="B196" t="s">
        <v>222</v>
      </c>
      <c r="C196">
        <f>21370.92+21370.92</f>
        <v>42741.84</v>
      </c>
      <c r="D196">
        <f>19805.76+19635.8</f>
        <v>39441.56</v>
      </c>
      <c r="E196" t="s">
        <v>214</v>
      </c>
      <c r="F196" t="s">
        <v>215</v>
      </c>
    </row>
    <row r="197" spans="1:6" x14ac:dyDescent="0.25">
      <c r="A197">
        <v>25</v>
      </c>
      <c r="B197" t="s">
        <v>223</v>
      </c>
      <c r="C197">
        <f>439.8+439.8</f>
        <v>879.6</v>
      </c>
      <c r="D197">
        <f t="shared" ref="D197:D202" si="18">+C197</f>
        <v>879.6</v>
      </c>
      <c r="E197" t="s">
        <v>214</v>
      </c>
      <c r="F197" t="s">
        <v>215</v>
      </c>
    </row>
    <row r="198" spans="1:6" x14ac:dyDescent="0.25">
      <c r="A198">
        <v>25</v>
      </c>
      <c r="B198" t="s">
        <v>224</v>
      </c>
      <c r="C198">
        <f>326.1+326.1</f>
        <v>652.20000000000005</v>
      </c>
      <c r="D198">
        <f t="shared" si="18"/>
        <v>652.20000000000005</v>
      </c>
      <c r="E198" t="s">
        <v>214</v>
      </c>
      <c r="F198" t="s">
        <v>215</v>
      </c>
    </row>
    <row r="199" spans="1:6" x14ac:dyDescent="0.25">
      <c r="A199">
        <v>25</v>
      </c>
      <c r="B199" t="s">
        <v>225</v>
      </c>
      <c r="C199">
        <f>2662.8+2662.8</f>
        <v>5325.6</v>
      </c>
      <c r="D199">
        <f t="shared" si="18"/>
        <v>5325.6</v>
      </c>
      <c r="E199" t="s">
        <v>214</v>
      </c>
      <c r="F199" t="s">
        <v>215</v>
      </c>
    </row>
    <row r="200" spans="1:6" x14ac:dyDescent="0.25">
      <c r="A200">
        <v>25</v>
      </c>
      <c r="B200" t="s">
        <v>226</v>
      </c>
      <c r="C200">
        <f>663.12+663.12</f>
        <v>1326.24</v>
      </c>
      <c r="D200">
        <f t="shared" si="18"/>
        <v>1326.24</v>
      </c>
      <c r="E200" t="s">
        <v>214</v>
      </c>
      <c r="F200" t="s">
        <v>215</v>
      </c>
    </row>
    <row r="201" spans="1:6" x14ac:dyDescent="0.25">
      <c r="A201">
        <v>25</v>
      </c>
      <c r="B201" t="s">
        <v>227</v>
      </c>
      <c r="C201">
        <v>0</v>
      </c>
      <c r="D201">
        <v>0</v>
      </c>
      <c r="E201" t="s">
        <v>214</v>
      </c>
      <c r="F201" t="s">
        <v>215</v>
      </c>
    </row>
    <row r="202" spans="1:6" x14ac:dyDescent="0.25">
      <c r="A202">
        <v>25</v>
      </c>
      <c r="B202" t="s">
        <v>228</v>
      </c>
      <c r="C202">
        <f>539.7+539.7</f>
        <v>1079.4000000000001</v>
      </c>
      <c r="D202">
        <f t="shared" si="18"/>
        <v>1079.4000000000001</v>
      </c>
      <c r="E202" t="s">
        <v>214</v>
      </c>
      <c r="F202" t="s">
        <v>215</v>
      </c>
    </row>
    <row r="203" spans="1:6" x14ac:dyDescent="0.25">
      <c r="A203">
        <v>25</v>
      </c>
      <c r="B203" t="s">
        <v>229</v>
      </c>
      <c r="C203">
        <f>187.2+187.2</f>
        <v>374.4</v>
      </c>
      <c r="D203">
        <f>173.49+172</f>
        <v>345.49</v>
      </c>
      <c r="E203" t="s">
        <v>214</v>
      </c>
      <c r="F203" t="s">
        <v>215</v>
      </c>
    </row>
    <row r="204" spans="1:6" x14ac:dyDescent="0.25">
      <c r="A204">
        <v>26</v>
      </c>
      <c r="B204" t="s">
        <v>222</v>
      </c>
      <c r="C204">
        <f>23005.92+23005.92</f>
        <v>46011.839999999997</v>
      </c>
      <c r="D204">
        <f>20249.98+20023.91</f>
        <v>40273.89</v>
      </c>
      <c r="E204" t="s">
        <v>214</v>
      </c>
      <c r="F204" t="s">
        <v>215</v>
      </c>
    </row>
    <row r="205" spans="1:6" x14ac:dyDescent="0.25">
      <c r="A205">
        <v>26</v>
      </c>
      <c r="B205" t="s">
        <v>223</v>
      </c>
      <c r="C205">
        <f>439.8+439.8</f>
        <v>879.6</v>
      </c>
      <c r="D205">
        <f t="shared" ref="D205:D210" si="19">+C205</f>
        <v>879.6</v>
      </c>
      <c r="E205" t="s">
        <v>214</v>
      </c>
      <c r="F205" t="s">
        <v>215</v>
      </c>
    </row>
    <row r="206" spans="1:6" x14ac:dyDescent="0.25">
      <c r="A206">
        <v>26</v>
      </c>
      <c r="B206" t="s">
        <v>224</v>
      </c>
      <c r="C206">
        <f>326.1+326.1</f>
        <v>652.20000000000005</v>
      </c>
      <c r="D206">
        <f t="shared" si="19"/>
        <v>652.20000000000005</v>
      </c>
      <c r="E206" t="s">
        <v>214</v>
      </c>
      <c r="F206" t="s">
        <v>215</v>
      </c>
    </row>
    <row r="207" spans="1:6" x14ac:dyDescent="0.25">
      <c r="A207">
        <v>26</v>
      </c>
      <c r="B207" t="s">
        <v>225</v>
      </c>
      <c r="C207">
        <f>2662.8+2662.8</f>
        <v>5325.6</v>
      </c>
      <c r="D207">
        <f t="shared" si="19"/>
        <v>5325.6</v>
      </c>
      <c r="E207" t="s">
        <v>214</v>
      </c>
      <c r="F207" t="s">
        <v>215</v>
      </c>
    </row>
    <row r="208" spans="1:6" x14ac:dyDescent="0.25">
      <c r="A208">
        <v>26</v>
      </c>
      <c r="B208" t="s">
        <v>226</v>
      </c>
      <c r="C208">
        <f>663.12+663.12</f>
        <v>1326.24</v>
      </c>
      <c r="D208">
        <f t="shared" si="19"/>
        <v>1326.24</v>
      </c>
      <c r="E208" t="s">
        <v>214</v>
      </c>
      <c r="F208" t="s">
        <v>215</v>
      </c>
    </row>
    <row r="209" spans="1:6" x14ac:dyDescent="0.25">
      <c r="A209">
        <v>26</v>
      </c>
      <c r="B209" t="s">
        <v>227</v>
      </c>
      <c r="C209">
        <f>3676.74+3676.74</f>
        <v>7353.48</v>
      </c>
      <c r="D209">
        <f>3236.29+3200.16</f>
        <v>6436.45</v>
      </c>
      <c r="E209" t="s">
        <v>214</v>
      </c>
      <c r="F209" t="s">
        <v>215</v>
      </c>
    </row>
    <row r="210" spans="1:6" x14ac:dyDescent="0.25">
      <c r="A210">
        <v>26</v>
      </c>
      <c r="B210" t="s">
        <v>228</v>
      </c>
      <c r="C210">
        <f>539.7+539.7</f>
        <v>1079.4000000000001</v>
      </c>
      <c r="D210">
        <f t="shared" si="19"/>
        <v>1079.4000000000001</v>
      </c>
      <c r="E210" t="s">
        <v>214</v>
      </c>
      <c r="F210" t="s">
        <v>215</v>
      </c>
    </row>
    <row r="211" spans="1:6" x14ac:dyDescent="0.25">
      <c r="A211">
        <v>26</v>
      </c>
      <c r="B211" t="s">
        <v>229</v>
      </c>
      <c r="C211">
        <f>4685.82+4685.82</f>
        <v>9371.64</v>
      </c>
      <c r="D211">
        <f>4124.5+4078.45</f>
        <v>8202.9500000000007</v>
      </c>
      <c r="E211" t="s">
        <v>214</v>
      </c>
      <c r="F211" t="s">
        <v>215</v>
      </c>
    </row>
    <row r="212" spans="1:6" x14ac:dyDescent="0.25">
      <c r="A212">
        <v>27</v>
      </c>
      <c r="B212" t="s">
        <v>222</v>
      </c>
      <c r="C212">
        <f>22632.12+42031.74</f>
        <v>64663.86</v>
      </c>
      <c r="D212">
        <f>19921.29+34909.05</f>
        <v>54830.340000000004</v>
      </c>
      <c r="E212" t="s">
        <v>214</v>
      </c>
      <c r="F212" t="s">
        <v>215</v>
      </c>
    </row>
    <row r="213" spans="1:6" x14ac:dyDescent="0.25">
      <c r="A213">
        <v>27</v>
      </c>
      <c r="B213" t="s">
        <v>223</v>
      </c>
      <c r="C213">
        <f>439.8+283.43</f>
        <v>723.23</v>
      </c>
      <c r="D213">
        <f t="shared" ref="D213:D218" si="20">+C213</f>
        <v>723.23</v>
      </c>
      <c r="E213" t="s">
        <v>214</v>
      </c>
      <c r="F213" t="s">
        <v>215</v>
      </c>
    </row>
    <row r="214" spans="1:6" x14ac:dyDescent="0.25">
      <c r="A214">
        <v>27</v>
      </c>
      <c r="B214" t="s">
        <v>224</v>
      </c>
      <c r="C214">
        <f>326.1+210.15</f>
        <v>536.25</v>
      </c>
      <c r="D214">
        <f t="shared" si="20"/>
        <v>536.25</v>
      </c>
      <c r="E214" t="s">
        <v>214</v>
      </c>
      <c r="F214" t="s">
        <v>215</v>
      </c>
    </row>
    <row r="215" spans="1:6" x14ac:dyDescent="0.25">
      <c r="A215">
        <v>27</v>
      </c>
      <c r="B215" t="s">
        <v>225</v>
      </c>
      <c r="C215">
        <f>2662.8+1716.03</f>
        <v>4378.83</v>
      </c>
      <c r="D215">
        <f t="shared" si="20"/>
        <v>4378.83</v>
      </c>
      <c r="E215" t="s">
        <v>214</v>
      </c>
      <c r="F215" t="s">
        <v>215</v>
      </c>
    </row>
    <row r="216" spans="1:6" x14ac:dyDescent="0.25">
      <c r="A216">
        <v>27</v>
      </c>
      <c r="B216" t="s">
        <v>226</v>
      </c>
      <c r="C216">
        <f>663.12+427.34</f>
        <v>1090.46</v>
      </c>
      <c r="D216">
        <f t="shared" si="20"/>
        <v>1090.46</v>
      </c>
      <c r="E216" t="s">
        <v>214</v>
      </c>
      <c r="F216" t="s">
        <v>215</v>
      </c>
    </row>
    <row r="217" spans="1:6" x14ac:dyDescent="0.25">
      <c r="A217">
        <v>27</v>
      </c>
      <c r="B217" t="s">
        <v>227</v>
      </c>
      <c r="C217">
        <f>8549.16+5509.46</f>
        <v>14058.619999999999</v>
      </c>
      <c r="D217">
        <f>7525.16+4575.83</f>
        <v>12100.99</v>
      </c>
      <c r="E217" t="s">
        <v>214</v>
      </c>
      <c r="F217" t="s">
        <v>215</v>
      </c>
    </row>
    <row r="218" spans="1:6" x14ac:dyDescent="0.25">
      <c r="A218">
        <v>27</v>
      </c>
      <c r="B218" t="s">
        <v>228</v>
      </c>
      <c r="C218">
        <f>539.7+347.81</f>
        <v>887.51</v>
      </c>
      <c r="D218">
        <f t="shared" si="20"/>
        <v>887.51</v>
      </c>
      <c r="E218" t="s">
        <v>214</v>
      </c>
      <c r="F218" t="s">
        <v>215</v>
      </c>
    </row>
    <row r="219" spans="1:6" x14ac:dyDescent="0.25">
      <c r="A219">
        <v>27</v>
      </c>
      <c r="B219" t="s">
        <v>229</v>
      </c>
      <c r="C219">
        <f>187.2+120.64</f>
        <v>307.83999999999997</v>
      </c>
      <c r="D219">
        <f>164.78+100.2</f>
        <v>264.98</v>
      </c>
      <c r="E219" t="s">
        <v>214</v>
      </c>
      <c r="F219" t="s">
        <v>215</v>
      </c>
    </row>
    <row r="220" spans="1:6" x14ac:dyDescent="0.25">
      <c r="A220">
        <v>28</v>
      </c>
      <c r="B220" t="s">
        <v>222</v>
      </c>
      <c r="C220">
        <v>13881.9</v>
      </c>
      <c r="D220">
        <v>13310.96</v>
      </c>
      <c r="E220" t="s">
        <v>214</v>
      </c>
      <c r="F220" t="s">
        <v>215</v>
      </c>
    </row>
    <row r="221" spans="1:6" x14ac:dyDescent="0.25">
      <c r="A221">
        <v>28</v>
      </c>
      <c r="B221" t="s">
        <v>223</v>
      </c>
      <c r="C221">
        <v>312.74</v>
      </c>
      <c r="D221">
        <f t="shared" ref="D221:D226" si="21">+C221</f>
        <v>312.74</v>
      </c>
      <c r="E221" t="s">
        <v>214</v>
      </c>
      <c r="F221" t="s">
        <v>215</v>
      </c>
    </row>
    <row r="222" spans="1:6" x14ac:dyDescent="0.25">
      <c r="A222">
        <v>28</v>
      </c>
      <c r="B222" t="s">
        <v>224</v>
      </c>
      <c r="C222">
        <v>231.9</v>
      </c>
      <c r="D222">
        <f t="shared" si="21"/>
        <v>231.9</v>
      </c>
      <c r="E222" t="s">
        <v>214</v>
      </c>
      <c r="F222" t="s">
        <v>215</v>
      </c>
    </row>
    <row r="223" spans="1:6" x14ac:dyDescent="0.25">
      <c r="A223">
        <v>28</v>
      </c>
      <c r="B223" t="s">
        <v>225</v>
      </c>
      <c r="C223">
        <v>1893.54</v>
      </c>
      <c r="D223">
        <f t="shared" si="21"/>
        <v>1893.54</v>
      </c>
      <c r="E223" t="s">
        <v>214</v>
      </c>
      <c r="F223" t="s">
        <v>215</v>
      </c>
    </row>
    <row r="224" spans="1:6" x14ac:dyDescent="0.25">
      <c r="A224">
        <v>28</v>
      </c>
      <c r="B224" t="s">
        <v>226</v>
      </c>
      <c r="C224">
        <v>471.55</v>
      </c>
      <c r="D224">
        <f t="shared" si="21"/>
        <v>471.55</v>
      </c>
      <c r="E224" t="s">
        <v>214</v>
      </c>
      <c r="F224" t="s">
        <v>215</v>
      </c>
    </row>
    <row r="225" spans="1:6" x14ac:dyDescent="0.25">
      <c r="A225">
        <v>28</v>
      </c>
      <c r="B225" t="s">
        <v>227</v>
      </c>
      <c r="C225">
        <v>0</v>
      </c>
      <c r="D225">
        <v>0</v>
      </c>
      <c r="E225" t="s">
        <v>214</v>
      </c>
      <c r="F225" t="s">
        <v>215</v>
      </c>
    </row>
    <row r="226" spans="1:6" x14ac:dyDescent="0.25">
      <c r="A226">
        <v>28</v>
      </c>
      <c r="B226" t="s">
        <v>228</v>
      </c>
      <c r="C226">
        <v>383.78</v>
      </c>
      <c r="D226">
        <f t="shared" si="21"/>
        <v>383.78</v>
      </c>
      <c r="E226" t="s">
        <v>214</v>
      </c>
      <c r="F226" t="s">
        <v>215</v>
      </c>
    </row>
    <row r="227" spans="1:6" x14ac:dyDescent="0.25">
      <c r="A227">
        <v>28</v>
      </c>
      <c r="B227" t="s">
        <v>229</v>
      </c>
      <c r="C227">
        <v>133.12</v>
      </c>
      <c r="D227">
        <v>127.64</v>
      </c>
      <c r="E227" t="s">
        <v>214</v>
      </c>
      <c r="F227" t="s">
        <v>215</v>
      </c>
    </row>
    <row r="228" spans="1:6" x14ac:dyDescent="0.25">
      <c r="A228">
        <v>29</v>
      </c>
      <c r="B228" t="s">
        <v>222</v>
      </c>
      <c r="C228">
        <f>19521.42+19304.52</f>
        <v>38825.94</v>
      </c>
      <c r="D228">
        <f>18290.59+17983.97</f>
        <v>36274.559999999998</v>
      </c>
      <c r="E228" t="s">
        <v>214</v>
      </c>
      <c r="F228" t="s">
        <v>215</v>
      </c>
    </row>
    <row r="229" spans="1:6" x14ac:dyDescent="0.25">
      <c r="A229">
        <v>29</v>
      </c>
      <c r="B229" t="s">
        <v>223</v>
      </c>
      <c r="C229">
        <f>439.8+434.91</f>
        <v>874.71</v>
      </c>
      <c r="D229">
        <f t="shared" ref="D229:D234" si="22">+C229</f>
        <v>874.71</v>
      </c>
      <c r="E229" t="s">
        <v>214</v>
      </c>
      <c r="F229" t="s">
        <v>215</v>
      </c>
    </row>
    <row r="230" spans="1:6" x14ac:dyDescent="0.25">
      <c r="A230">
        <v>29</v>
      </c>
      <c r="B230" t="s">
        <v>224</v>
      </c>
      <c r="C230">
        <f>326.1+322.48</f>
        <v>648.58000000000004</v>
      </c>
      <c r="D230">
        <f t="shared" si="22"/>
        <v>648.58000000000004</v>
      </c>
      <c r="E230" t="s">
        <v>214</v>
      </c>
      <c r="F230" t="s">
        <v>215</v>
      </c>
    </row>
    <row r="231" spans="1:6" x14ac:dyDescent="0.25">
      <c r="A231">
        <v>29</v>
      </c>
      <c r="B231" t="s">
        <v>225</v>
      </c>
      <c r="C231">
        <f>2662.8+2633.21</f>
        <v>5296.01</v>
      </c>
      <c r="D231">
        <f t="shared" si="22"/>
        <v>5296.01</v>
      </c>
      <c r="E231" t="s">
        <v>214</v>
      </c>
      <c r="F231" t="s">
        <v>215</v>
      </c>
    </row>
    <row r="232" spans="1:6" x14ac:dyDescent="0.25">
      <c r="A232">
        <v>29</v>
      </c>
      <c r="B232" t="s">
        <v>226</v>
      </c>
      <c r="C232">
        <f>663.12+655.75</f>
        <v>1318.87</v>
      </c>
      <c r="D232">
        <f t="shared" si="22"/>
        <v>1318.87</v>
      </c>
      <c r="E232" t="s">
        <v>214</v>
      </c>
      <c r="F232" t="s">
        <v>215</v>
      </c>
    </row>
    <row r="233" spans="1:6" x14ac:dyDescent="0.25">
      <c r="A233">
        <v>29</v>
      </c>
      <c r="B233" t="s">
        <v>227</v>
      </c>
      <c r="C233">
        <v>0</v>
      </c>
      <c r="D233">
        <v>0</v>
      </c>
      <c r="E233" t="s">
        <v>214</v>
      </c>
      <c r="F233" t="s">
        <v>215</v>
      </c>
    </row>
    <row r="234" spans="1:6" x14ac:dyDescent="0.25">
      <c r="A234">
        <v>29</v>
      </c>
      <c r="B234" t="s">
        <v>228</v>
      </c>
      <c r="C234">
        <f>539.7+533.7</f>
        <v>1073.4000000000001</v>
      </c>
      <c r="D234">
        <f t="shared" si="22"/>
        <v>1073.4000000000001</v>
      </c>
      <c r="E234" t="s">
        <v>214</v>
      </c>
      <c r="F234" t="s">
        <v>215</v>
      </c>
    </row>
    <row r="235" spans="1:6" x14ac:dyDescent="0.25">
      <c r="A235">
        <v>29</v>
      </c>
      <c r="B235" t="s">
        <v>229</v>
      </c>
      <c r="C235">
        <f>187.2+185.12</f>
        <v>372.32</v>
      </c>
      <c r="D235">
        <f>175.4+172.46</f>
        <v>347.86</v>
      </c>
      <c r="E235" t="s">
        <v>214</v>
      </c>
      <c r="F235" t="s">
        <v>215</v>
      </c>
    </row>
    <row r="236" spans="1:6" x14ac:dyDescent="0.25">
      <c r="A236">
        <v>30</v>
      </c>
      <c r="B236" t="s">
        <v>222</v>
      </c>
      <c r="C236">
        <f>21009.3+20775.86</f>
        <v>41785.160000000003</v>
      </c>
      <c r="D236">
        <f>19489.18+19142.98</f>
        <v>38632.160000000003</v>
      </c>
      <c r="E236" t="s">
        <v>214</v>
      </c>
      <c r="F236" t="s">
        <v>215</v>
      </c>
    </row>
    <row r="237" spans="1:6" x14ac:dyDescent="0.25">
      <c r="A237">
        <v>30</v>
      </c>
      <c r="B237" t="s">
        <v>223</v>
      </c>
      <c r="C237">
        <f>439.8+434.91</f>
        <v>874.71</v>
      </c>
      <c r="D237">
        <f t="shared" ref="D237:D242" si="23">+C237</f>
        <v>874.71</v>
      </c>
      <c r="E237" t="s">
        <v>214</v>
      </c>
      <c r="F237" t="s">
        <v>215</v>
      </c>
    </row>
    <row r="238" spans="1:6" x14ac:dyDescent="0.25">
      <c r="A238">
        <v>30</v>
      </c>
      <c r="B238" t="s">
        <v>224</v>
      </c>
      <c r="C238">
        <f>326.1+322.48</f>
        <v>648.58000000000004</v>
      </c>
      <c r="D238">
        <f t="shared" si="23"/>
        <v>648.58000000000004</v>
      </c>
      <c r="E238" t="s">
        <v>214</v>
      </c>
      <c r="F238" t="s">
        <v>215</v>
      </c>
    </row>
    <row r="239" spans="1:6" x14ac:dyDescent="0.25">
      <c r="A239">
        <v>30</v>
      </c>
      <c r="B239" t="s">
        <v>225</v>
      </c>
      <c r="C239">
        <f>2662.8+2633.21</f>
        <v>5296.01</v>
      </c>
      <c r="D239">
        <f t="shared" si="23"/>
        <v>5296.01</v>
      </c>
      <c r="E239" t="s">
        <v>214</v>
      </c>
      <c r="F239" t="s">
        <v>215</v>
      </c>
    </row>
    <row r="240" spans="1:6" x14ac:dyDescent="0.25">
      <c r="A240">
        <v>30</v>
      </c>
      <c r="B240" t="s">
        <v>226</v>
      </c>
      <c r="C240">
        <f>663.12+655.75</f>
        <v>1318.87</v>
      </c>
      <c r="D240">
        <f t="shared" si="23"/>
        <v>1318.87</v>
      </c>
      <c r="E240" t="s">
        <v>214</v>
      </c>
      <c r="F240" t="s">
        <v>215</v>
      </c>
    </row>
    <row r="241" spans="1:6" x14ac:dyDescent="0.25">
      <c r="A241">
        <v>30</v>
      </c>
      <c r="B241" t="s">
        <v>227</v>
      </c>
      <c r="C241">
        <v>0</v>
      </c>
      <c r="D241">
        <v>0</v>
      </c>
      <c r="E241" t="s">
        <v>214</v>
      </c>
      <c r="F241" t="s">
        <v>215</v>
      </c>
    </row>
    <row r="242" spans="1:6" x14ac:dyDescent="0.25">
      <c r="A242">
        <v>30</v>
      </c>
      <c r="B242" t="s">
        <v>228</v>
      </c>
      <c r="C242">
        <f>539.7+533.7</f>
        <v>1073.4000000000001</v>
      </c>
      <c r="D242">
        <f t="shared" si="23"/>
        <v>1073.4000000000001</v>
      </c>
      <c r="E242" t="s">
        <v>214</v>
      </c>
      <c r="F242" t="s">
        <v>215</v>
      </c>
    </row>
    <row r="243" spans="1:6" x14ac:dyDescent="0.25">
      <c r="A243">
        <v>30</v>
      </c>
      <c r="B243" t="s">
        <v>229</v>
      </c>
      <c r="C243">
        <f>187.2+185.12</f>
        <v>372.32</v>
      </c>
      <c r="D243">
        <f>173.66+170.57</f>
        <v>344.23</v>
      </c>
      <c r="E243" t="s">
        <v>214</v>
      </c>
      <c r="F243" t="s">
        <v>215</v>
      </c>
    </row>
    <row r="244" spans="1:6" x14ac:dyDescent="0.25">
      <c r="A244">
        <v>31</v>
      </c>
      <c r="B244" t="s">
        <v>222</v>
      </c>
      <c r="C244">
        <v>9543.81</v>
      </c>
      <c r="D244">
        <v>9047.48</v>
      </c>
      <c r="E244" t="s">
        <v>214</v>
      </c>
      <c r="F244" t="s">
        <v>215</v>
      </c>
    </row>
    <row r="245" spans="1:6" x14ac:dyDescent="0.25">
      <c r="A245">
        <v>31</v>
      </c>
      <c r="B245" t="s">
        <v>223</v>
      </c>
      <c r="C245">
        <v>215.01</v>
      </c>
      <c r="D245">
        <f t="shared" ref="D245:D250" si="24">+C245</f>
        <v>215.01</v>
      </c>
      <c r="E245" t="s">
        <v>214</v>
      </c>
      <c r="F245" t="s">
        <v>215</v>
      </c>
    </row>
    <row r="246" spans="1:6" x14ac:dyDescent="0.25">
      <c r="A246">
        <v>31</v>
      </c>
      <c r="B246" t="s">
        <v>224</v>
      </c>
      <c r="C246">
        <v>159.43</v>
      </c>
      <c r="D246">
        <f t="shared" si="24"/>
        <v>159.43</v>
      </c>
      <c r="E246" t="s">
        <v>214</v>
      </c>
      <c r="F246" t="s">
        <v>215</v>
      </c>
    </row>
    <row r="247" spans="1:6" x14ac:dyDescent="0.25">
      <c r="A247">
        <v>31</v>
      </c>
      <c r="B247" t="s">
        <v>225</v>
      </c>
      <c r="C247">
        <v>1301.81</v>
      </c>
      <c r="D247">
        <f t="shared" si="24"/>
        <v>1301.81</v>
      </c>
      <c r="E247" t="s">
        <v>214</v>
      </c>
      <c r="F247" t="s">
        <v>215</v>
      </c>
    </row>
    <row r="248" spans="1:6" x14ac:dyDescent="0.25">
      <c r="A248">
        <v>31</v>
      </c>
      <c r="B248" t="s">
        <v>226</v>
      </c>
      <c r="C248">
        <v>324.19</v>
      </c>
      <c r="D248">
        <f t="shared" si="24"/>
        <v>324.19</v>
      </c>
      <c r="E248" t="s">
        <v>214</v>
      </c>
      <c r="F248" t="s">
        <v>215</v>
      </c>
    </row>
    <row r="249" spans="1:6" x14ac:dyDescent="0.25">
      <c r="A249">
        <v>31</v>
      </c>
      <c r="B249" t="s">
        <v>227</v>
      </c>
      <c r="C249">
        <v>0</v>
      </c>
      <c r="D249">
        <v>0</v>
      </c>
      <c r="E249" t="s">
        <v>214</v>
      </c>
      <c r="F249" t="s">
        <v>215</v>
      </c>
    </row>
    <row r="250" spans="1:6" x14ac:dyDescent="0.25">
      <c r="A250">
        <v>31</v>
      </c>
      <c r="B250" t="s">
        <v>228</v>
      </c>
      <c r="C250">
        <v>263.85000000000002</v>
      </c>
      <c r="D250">
        <f t="shared" si="24"/>
        <v>263.85000000000002</v>
      </c>
      <c r="E250" t="s">
        <v>214</v>
      </c>
      <c r="F250" t="s">
        <v>215</v>
      </c>
    </row>
    <row r="251" spans="1:6" x14ac:dyDescent="0.25">
      <c r="A251">
        <v>31</v>
      </c>
      <c r="B251" t="s">
        <v>229</v>
      </c>
      <c r="C251">
        <v>91.52</v>
      </c>
      <c r="D251">
        <v>86.76</v>
      </c>
      <c r="E251" t="s">
        <v>214</v>
      </c>
      <c r="F251" t="s">
        <v>215</v>
      </c>
    </row>
    <row r="252" spans="1:6" x14ac:dyDescent="0.25">
      <c r="A252">
        <v>32</v>
      </c>
      <c r="B252" t="s">
        <v>222</v>
      </c>
      <c r="C252">
        <f>18653.8+19304.52</f>
        <v>37958.32</v>
      </c>
      <c r="D252">
        <f>17552.04+17983.97</f>
        <v>35536.01</v>
      </c>
      <c r="E252" t="s">
        <v>214</v>
      </c>
      <c r="F252" t="s">
        <v>215</v>
      </c>
    </row>
    <row r="253" spans="1:6" x14ac:dyDescent="0.25">
      <c r="A253">
        <v>32</v>
      </c>
      <c r="B253" t="s">
        <v>223</v>
      </c>
      <c r="C253">
        <f>420.26+434.91</f>
        <v>855.17000000000007</v>
      </c>
      <c r="D253">
        <f t="shared" ref="D253:D258" si="25">+C253</f>
        <v>855.17000000000007</v>
      </c>
      <c r="E253" t="s">
        <v>214</v>
      </c>
      <c r="F253" t="s">
        <v>215</v>
      </c>
    </row>
    <row r="254" spans="1:6" x14ac:dyDescent="0.25">
      <c r="A254">
        <v>32</v>
      </c>
      <c r="B254" t="s">
        <v>224</v>
      </c>
      <c r="C254">
        <f>311.6+322.48</f>
        <v>634.08000000000004</v>
      </c>
      <c r="D254">
        <f t="shared" si="25"/>
        <v>634.08000000000004</v>
      </c>
      <c r="E254" t="s">
        <v>214</v>
      </c>
      <c r="F254" t="s">
        <v>215</v>
      </c>
    </row>
    <row r="255" spans="1:6" x14ac:dyDescent="0.25">
      <c r="A255">
        <v>32</v>
      </c>
      <c r="B255" t="s">
        <v>225</v>
      </c>
      <c r="C255">
        <f>2544.46+2633.21</f>
        <v>5177.67</v>
      </c>
      <c r="D255">
        <f t="shared" si="25"/>
        <v>5177.67</v>
      </c>
      <c r="E255" t="s">
        <v>214</v>
      </c>
      <c r="F255" t="s">
        <v>215</v>
      </c>
    </row>
    <row r="256" spans="1:6" x14ac:dyDescent="0.25">
      <c r="A256">
        <v>32</v>
      </c>
      <c r="B256" t="s">
        <v>226</v>
      </c>
      <c r="C256">
        <f>633.64+655.75</f>
        <v>1289.3899999999999</v>
      </c>
      <c r="D256">
        <f t="shared" si="25"/>
        <v>1289.3899999999999</v>
      </c>
      <c r="E256" t="s">
        <v>214</v>
      </c>
      <c r="F256" t="s">
        <v>215</v>
      </c>
    </row>
    <row r="257" spans="1:6" x14ac:dyDescent="0.25">
      <c r="A257">
        <v>32</v>
      </c>
      <c r="B257" t="s">
        <v>227</v>
      </c>
      <c r="C257" s="8">
        <v>270.45</v>
      </c>
      <c r="D257" s="8">
        <v>254.48</v>
      </c>
      <c r="E257" t="s">
        <v>214</v>
      </c>
      <c r="F257" t="s">
        <v>215</v>
      </c>
    </row>
    <row r="258" spans="1:6" x14ac:dyDescent="0.25">
      <c r="A258">
        <v>32</v>
      </c>
      <c r="B258" t="s">
        <v>228</v>
      </c>
      <c r="C258">
        <f>515.72+533.7</f>
        <v>1049.42</v>
      </c>
      <c r="D258">
        <f t="shared" si="25"/>
        <v>1049.42</v>
      </c>
      <c r="E258" t="s">
        <v>214</v>
      </c>
      <c r="F258" t="s">
        <v>215</v>
      </c>
    </row>
    <row r="259" spans="1:6" x14ac:dyDescent="0.25">
      <c r="A259">
        <v>32</v>
      </c>
      <c r="B259" t="s">
        <v>229</v>
      </c>
      <c r="C259">
        <f>178.88+185.12</f>
        <v>364</v>
      </c>
      <c r="D259">
        <f>168.31+172.46</f>
        <v>340.77</v>
      </c>
      <c r="E259" t="s">
        <v>214</v>
      </c>
      <c r="F259" t="s">
        <v>215</v>
      </c>
    </row>
    <row r="260" spans="1:6" x14ac:dyDescent="0.25">
      <c r="A260">
        <v>33</v>
      </c>
      <c r="B260" t="s">
        <v>222</v>
      </c>
      <c r="C260">
        <v>5958.07</v>
      </c>
      <c r="D260">
        <v>5727.65</v>
      </c>
      <c r="E260" t="s">
        <v>214</v>
      </c>
      <c r="F260" t="s">
        <v>215</v>
      </c>
    </row>
    <row r="261" spans="1:6" x14ac:dyDescent="0.25">
      <c r="A261">
        <v>33</v>
      </c>
      <c r="B261" t="s">
        <v>223</v>
      </c>
      <c r="C261">
        <v>73.3</v>
      </c>
      <c r="D261">
        <f t="shared" ref="D261:D266" si="26">+C261</f>
        <v>73.3</v>
      </c>
      <c r="E261" t="s">
        <v>214</v>
      </c>
      <c r="F261" t="s">
        <v>215</v>
      </c>
    </row>
    <row r="262" spans="1:6" x14ac:dyDescent="0.25">
      <c r="A262">
        <v>33</v>
      </c>
      <c r="B262" t="s">
        <v>224</v>
      </c>
      <c r="C262">
        <v>54.35</v>
      </c>
      <c r="D262">
        <f t="shared" si="26"/>
        <v>54.35</v>
      </c>
      <c r="E262" t="s">
        <v>214</v>
      </c>
      <c r="F262" t="s">
        <v>215</v>
      </c>
    </row>
    <row r="263" spans="1:6" x14ac:dyDescent="0.25">
      <c r="A263">
        <v>33</v>
      </c>
      <c r="B263" t="s">
        <v>225</v>
      </c>
      <c r="C263">
        <v>443.8</v>
      </c>
      <c r="D263">
        <f t="shared" si="26"/>
        <v>443.8</v>
      </c>
      <c r="E263" t="s">
        <v>214</v>
      </c>
      <c r="F263" t="s">
        <v>215</v>
      </c>
    </row>
    <row r="264" spans="1:6" x14ac:dyDescent="0.25">
      <c r="A264">
        <v>33</v>
      </c>
      <c r="B264" t="s">
        <v>226</v>
      </c>
      <c r="C264">
        <v>110.52</v>
      </c>
      <c r="D264">
        <f t="shared" si="26"/>
        <v>110.52</v>
      </c>
      <c r="E264" t="s">
        <v>214</v>
      </c>
      <c r="F264" t="s">
        <v>215</v>
      </c>
    </row>
    <row r="265" spans="1:6" x14ac:dyDescent="0.25">
      <c r="A265">
        <v>33</v>
      </c>
      <c r="B265" t="s">
        <v>227</v>
      </c>
      <c r="C265">
        <v>0</v>
      </c>
      <c r="D265">
        <v>0</v>
      </c>
      <c r="E265" t="s">
        <v>214</v>
      </c>
      <c r="F265" t="s">
        <v>215</v>
      </c>
    </row>
    <row r="266" spans="1:6" x14ac:dyDescent="0.25">
      <c r="A266">
        <v>33</v>
      </c>
      <c r="B266" t="s">
        <v>228</v>
      </c>
      <c r="C266">
        <v>89.95</v>
      </c>
      <c r="D266">
        <f t="shared" si="26"/>
        <v>89.95</v>
      </c>
      <c r="E266" t="s">
        <v>214</v>
      </c>
      <c r="F266" t="s">
        <v>215</v>
      </c>
    </row>
    <row r="267" spans="1:6" x14ac:dyDescent="0.25">
      <c r="A267">
        <v>33</v>
      </c>
      <c r="B267" t="s">
        <v>229</v>
      </c>
      <c r="C267">
        <v>31.2</v>
      </c>
      <c r="D267">
        <v>29.99</v>
      </c>
      <c r="E267" t="s">
        <v>214</v>
      </c>
      <c r="F267" t="s">
        <v>215</v>
      </c>
    </row>
    <row r="268" spans="1:6" x14ac:dyDescent="0.25">
      <c r="A268" s="8">
        <v>34</v>
      </c>
      <c r="B268" s="8" t="s">
        <v>222</v>
      </c>
      <c r="C268" s="8">
        <f>18870.72+17352.39</f>
        <v>36223.11</v>
      </c>
      <c r="D268" s="8">
        <f>17788.34+16430.69</f>
        <v>34219.03</v>
      </c>
      <c r="E268" s="8" t="s">
        <v>214</v>
      </c>
      <c r="F268" s="8" t="s">
        <v>215</v>
      </c>
    </row>
    <row r="269" spans="1:6" x14ac:dyDescent="0.25">
      <c r="A269" s="8">
        <v>34</v>
      </c>
      <c r="B269" s="8" t="s">
        <v>223</v>
      </c>
      <c r="C269" s="8">
        <f>425.13+390.93</f>
        <v>816.06</v>
      </c>
      <c r="D269" s="8">
        <f t="shared" ref="D269:D274" si="27">+C269</f>
        <v>816.06</v>
      </c>
      <c r="E269" s="8" t="s">
        <v>214</v>
      </c>
      <c r="F269" s="8" t="s">
        <v>215</v>
      </c>
    </row>
    <row r="270" spans="1:6" x14ac:dyDescent="0.25">
      <c r="A270" s="8">
        <v>34</v>
      </c>
      <c r="B270" s="8" t="s">
        <v>224</v>
      </c>
      <c r="C270" s="8">
        <f>315.24+289.87</f>
        <v>605.11</v>
      </c>
      <c r="D270" s="8">
        <f t="shared" si="27"/>
        <v>605.11</v>
      </c>
      <c r="E270" s="8" t="s">
        <v>214</v>
      </c>
      <c r="F270" s="8" t="s">
        <v>215</v>
      </c>
    </row>
    <row r="271" spans="1:6" x14ac:dyDescent="0.25">
      <c r="A271" s="8">
        <v>34</v>
      </c>
      <c r="B271" s="8" t="s">
        <v>225</v>
      </c>
      <c r="C271" s="8">
        <f>2574.03+2366.93</f>
        <v>4940.96</v>
      </c>
      <c r="D271" s="8">
        <f t="shared" si="27"/>
        <v>4940.96</v>
      </c>
      <c r="E271" s="8" t="s">
        <v>214</v>
      </c>
      <c r="F271" s="8" t="s">
        <v>215</v>
      </c>
    </row>
    <row r="272" spans="1:6" x14ac:dyDescent="0.25">
      <c r="A272" s="8">
        <v>34</v>
      </c>
      <c r="B272" s="8" t="s">
        <v>226</v>
      </c>
      <c r="C272" s="8">
        <f>641.01+589.43</f>
        <v>1230.44</v>
      </c>
      <c r="D272" s="8">
        <f t="shared" si="27"/>
        <v>1230.44</v>
      </c>
      <c r="E272" s="8" t="s">
        <v>214</v>
      </c>
      <c r="F272" s="8" t="s">
        <v>215</v>
      </c>
    </row>
    <row r="273" spans="1:6" x14ac:dyDescent="0.25">
      <c r="A273" s="8">
        <v>34</v>
      </c>
      <c r="B273" s="8" t="s">
        <v>227</v>
      </c>
      <c r="C273" s="8">
        <v>0</v>
      </c>
      <c r="D273" s="8">
        <v>0</v>
      </c>
      <c r="E273" s="8" t="s">
        <v>214</v>
      </c>
      <c r="F273" s="8" t="s">
        <v>215</v>
      </c>
    </row>
    <row r="274" spans="1:6" x14ac:dyDescent="0.25">
      <c r="A274" s="8">
        <v>34</v>
      </c>
      <c r="B274" s="8" t="s">
        <v>228</v>
      </c>
      <c r="C274" s="8">
        <f>521.7+479.73</f>
        <v>1001.4300000000001</v>
      </c>
      <c r="D274" s="8">
        <f t="shared" si="27"/>
        <v>1001.4300000000001</v>
      </c>
      <c r="E274" s="8" t="s">
        <v>214</v>
      </c>
      <c r="F274" s="8" t="s">
        <v>215</v>
      </c>
    </row>
    <row r="275" spans="1:6" x14ac:dyDescent="0.25">
      <c r="A275" s="8">
        <v>34</v>
      </c>
      <c r="B275" s="8" t="s">
        <v>229</v>
      </c>
      <c r="C275" s="8">
        <f>180.96+166.4</f>
        <v>347.36</v>
      </c>
      <c r="D275" s="8">
        <f>170.58+157.56</f>
        <v>328.14</v>
      </c>
      <c r="E275" s="8" t="s">
        <v>214</v>
      </c>
      <c r="F275" s="8" t="s">
        <v>215</v>
      </c>
    </row>
    <row r="276" spans="1:6" x14ac:dyDescent="0.25">
      <c r="A276" s="8">
        <v>35</v>
      </c>
      <c r="B276" s="8" t="s">
        <v>222</v>
      </c>
      <c r="C276" s="8">
        <f>19304.52+19087.62</f>
        <v>38392.14</v>
      </c>
      <c r="D276" s="8">
        <f>18125.27+17818.65</f>
        <v>35943.919999999998</v>
      </c>
      <c r="E276" s="8" t="s">
        <v>214</v>
      </c>
      <c r="F276" s="8" t="s">
        <v>215</v>
      </c>
    </row>
    <row r="277" spans="1:6" x14ac:dyDescent="0.25">
      <c r="A277" s="8">
        <v>35</v>
      </c>
      <c r="B277" s="8" t="s">
        <v>223</v>
      </c>
      <c r="C277" s="8">
        <f>434.91+430.02</f>
        <v>864.93000000000006</v>
      </c>
      <c r="D277" s="8">
        <f t="shared" ref="D277:D282" si="28">+C277</f>
        <v>864.93000000000006</v>
      </c>
      <c r="E277" s="8" t="s">
        <v>214</v>
      </c>
      <c r="F277" s="8" t="s">
        <v>215</v>
      </c>
    </row>
    <row r="278" spans="1:6" x14ac:dyDescent="0.25">
      <c r="A278" s="8">
        <v>35</v>
      </c>
      <c r="B278" s="8" t="s">
        <v>224</v>
      </c>
      <c r="C278" s="8">
        <f>322.48+318.86</f>
        <v>641.34</v>
      </c>
      <c r="D278" s="8">
        <f t="shared" si="28"/>
        <v>641.34</v>
      </c>
      <c r="E278" s="8" t="s">
        <v>214</v>
      </c>
      <c r="F278" s="8" t="s">
        <v>215</v>
      </c>
    </row>
    <row r="279" spans="1:6" x14ac:dyDescent="0.25">
      <c r="A279" s="8">
        <v>35</v>
      </c>
      <c r="B279" s="8" t="s">
        <v>225</v>
      </c>
      <c r="C279" s="8">
        <f>2633.21+2603.62</f>
        <v>5236.83</v>
      </c>
      <c r="D279" s="8">
        <f t="shared" si="28"/>
        <v>5236.83</v>
      </c>
      <c r="E279" s="8" t="s">
        <v>214</v>
      </c>
      <c r="F279" s="8" t="s">
        <v>215</v>
      </c>
    </row>
    <row r="280" spans="1:6" x14ac:dyDescent="0.25">
      <c r="A280" s="8">
        <v>35</v>
      </c>
      <c r="B280" s="8" t="s">
        <v>226</v>
      </c>
      <c r="C280" s="8">
        <f>655.75+648.38</f>
        <v>1304.1300000000001</v>
      </c>
      <c r="D280" s="8">
        <f t="shared" si="28"/>
        <v>1304.1300000000001</v>
      </c>
      <c r="E280" s="8" t="s">
        <v>214</v>
      </c>
      <c r="F280" s="8" t="s">
        <v>215</v>
      </c>
    </row>
    <row r="281" spans="1:6" x14ac:dyDescent="0.25">
      <c r="A281" s="8">
        <v>35</v>
      </c>
      <c r="B281" s="8" t="s">
        <v>227</v>
      </c>
      <c r="C281" s="8">
        <v>0</v>
      </c>
      <c r="D281" s="8">
        <v>0</v>
      </c>
      <c r="E281" s="8" t="s">
        <v>214</v>
      </c>
      <c r="F281" s="8" t="s">
        <v>215</v>
      </c>
    </row>
    <row r="282" spans="1:6" x14ac:dyDescent="0.25">
      <c r="A282" s="8">
        <v>35</v>
      </c>
      <c r="B282" s="8" t="s">
        <v>228</v>
      </c>
      <c r="C282" s="8">
        <f>533.7+527.7</f>
        <v>1061.4000000000001</v>
      </c>
      <c r="D282" s="8">
        <f t="shared" si="28"/>
        <v>1061.4000000000001</v>
      </c>
      <c r="E282" s="8" t="s">
        <v>214</v>
      </c>
      <c r="F282" s="8" t="s">
        <v>215</v>
      </c>
    </row>
    <row r="283" spans="1:6" x14ac:dyDescent="0.25">
      <c r="A283" s="8">
        <v>35</v>
      </c>
      <c r="B283" s="8" t="s">
        <v>229</v>
      </c>
      <c r="C283" s="8">
        <f>185.12+183.04</f>
        <v>368.15999999999997</v>
      </c>
      <c r="D283" s="8">
        <f>173.81+170.87</f>
        <v>344.68</v>
      </c>
      <c r="E283" s="8" t="s">
        <v>214</v>
      </c>
      <c r="F283" s="8" t="s">
        <v>215</v>
      </c>
    </row>
    <row r="284" spans="1:6" x14ac:dyDescent="0.25">
      <c r="A284" s="8">
        <v>36</v>
      </c>
      <c r="B284" s="8" t="s">
        <v>222</v>
      </c>
      <c r="C284" s="8">
        <f>19521.42+19521.42</f>
        <v>39042.839999999997</v>
      </c>
      <c r="D284" s="8">
        <f>18290.59+18149.3</f>
        <v>36439.89</v>
      </c>
      <c r="E284" s="8" t="s">
        <v>214</v>
      </c>
      <c r="F284" s="8" t="s">
        <v>215</v>
      </c>
    </row>
    <row r="285" spans="1:6" x14ac:dyDescent="0.25">
      <c r="A285" s="8">
        <v>36</v>
      </c>
      <c r="B285" s="8" t="s">
        <v>223</v>
      </c>
      <c r="C285" s="8">
        <f>439.8+439.8</f>
        <v>879.6</v>
      </c>
      <c r="D285" s="8">
        <f t="shared" ref="D285:D290" si="29">+C285</f>
        <v>879.6</v>
      </c>
      <c r="E285" s="8" t="s">
        <v>214</v>
      </c>
      <c r="F285" s="8" t="s">
        <v>215</v>
      </c>
    </row>
    <row r="286" spans="1:6" x14ac:dyDescent="0.25">
      <c r="A286" s="8">
        <v>36</v>
      </c>
      <c r="B286" s="8" t="s">
        <v>224</v>
      </c>
      <c r="C286" s="8">
        <f>326.1+326.1</f>
        <v>652.20000000000005</v>
      </c>
      <c r="D286" s="8">
        <f t="shared" si="29"/>
        <v>652.20000000000005</v>
      </c>
      <c r="E286" s="8" t="s">
        <v>214</v>
      </c>
      <c r="F286" s="8" t="s">
        <v>215</v>
      </c>
    </row>
    <row r="287" spans="1:6" x14ac:dyDescent="0.25">
      <c r="A287" s="8">
        <v>36</v>
      </c>
      <c r="B287" s="8" t="s">
        <v>225</v>
      </c>
      <c r="C287" s="8">
        <f>2662.8+2662.8</f>
        <v>5325.6</v>
      </c>
      <c r="D287" s="8">
        <f t="shared" si="29"/>
        <v>5325.6</v>
      </c>
      <c r="E287" s="8" t="s">
        <v>214</v>
      </c>
      <c r="F287" s="8" t="s">
        <v>215</v>
      </c>
    </row>
    <row r="288" spans="1:6" x14ac:dyDescent="0.25">
      <c r="A288" s="8">
        <v>36</v>
      </c>
      <c r="B288" s="8" t="s">
        <v>226</v>
      </c>
      <c r="C288" s="8">
        <f>663.12+663.12</f>
        <v>1326.24</v>
      </c>
      <c r="D288" s="8">
        <f t="shared" si="29"/>
        <v>1326.24</v>
      </c>
      <c r="E288" s="8" t="s">
        <v>214</v>
      </c>
      <c r="F288" s="8" t="s">
        <v>215</v>
      </c>
    </row>
    <row r="289" spans="1:6" x14ac:dyDescent="0.25">
      <c r="A289" s="8">
        <v>36</v>
      </c>
      <c r="B289" s="8" t="s">
        <v>227</v>
      </c>
      <c r="C289" s="8">
        <v>0</v>
      </c>
      <c r="D289" s="8">
        <v>0</v>
      </c>
      <c r="E289" s="8" t="s">
        <v>214</v>
      </c>
      <c r="F289" s="8" t="s">
        <v>215</v>
      </c>
    </row>
    <row r="290" spans="1:6" x14ac:dyDescent="0.25">
      <c r="A290" s="8">
        <v>36</v>
      </c>
      <c r="B290" s="8" t="s">
        <v>228</v>
      </c>
      <c r="C290" s="8">
        <f>539.7+539.7</f>
        <v>1079.4000000000001</v>
      </c>
      <c r="D290" s="8">
        <f t="shared" si="29"/>
        <v>1079.4000000000001</v>
      </c>
      <c r="E290" s="8" t="s">
        <v>214</v>
      </c>
      <c r="F290" s="8" t="s">
        <v>215</v>
      </c>
    </row>
    <row r="291" spans="1:6" x14ac:dyDescent="0.25">
      <c r="A291" s="8">
        <v>36</v>
      </c>
      <c r="B291" s="8" t="s">
        <v>229</v>
      </c>
      <c r="C291" s="8">
        <f>187.2+187.2</f>
        <v>374.4</v>
      </c>
      <c r="D291" s="8">
        <f>175.4+174.04</f>
        <v>349.44</v>
      </c>
      <c r="E291" s="8" t="s">
        <v>214</v>
      </c>
      <c r="F291" s="8" t="s">
        <v>215</v>
      </c>
    </row>
    <row r="292" spans="1:6" x14ac:dyDescent="0.25">
      <c r="A292" s="8">
        <v>37</v>
      </c>
      <c r="B292" s="8" t="s">
        <v>222</v>
      </c>
      <c r="C292" s="8">
        <f>22380.65+20117.44</f>
        <v>42498.09</v>
      </c>
      <c r="D292" s="8">
        <f>20015.32+18117.49</f>
        <v>38132.81</v>
      </c>
      <c r="E292" s="8" t="s">
        <v>214</v>
      </c>
      <c r="F292" s="8" t="s">
        <v>215</v>
      </c>
    </row>
    <row r="293" spans="1:6" x14ac:dyDescent="0.25">
      <c r="A293">
        <v>37</v>
      </c>
      <c r="B293" t="s">
        <v>223</v>
      </c>
      <c r="C293">
        <f>434.91+390.93</f>
        <v>825.84</v>
      </c>
      <c r="D293">
        <f t="shared" ref="D293:D298" si="30">+C293</f>
        <v>825.84</v>
      </c>
      <c r="E293" t="s">
        <v>214</v>
      </c>
      <c r="F293" t="s">
        <v>215</v>
      </c>
    </row>
    <row r="294" spans="1:6" x14ac:dyDescent="0.25">
      <c r="A294">
        <v>37</v>
      </c>
      <c r="B294" t="s">
        <v>224</v>
      </c>
      <c r="C294">
        <f>322.48+289.87</f>
        <v>612.35</v>
      </c>
      <c r="D294">
        <f t="shared" si="30"/>
        <v>612.35</v>
      </c>
      <c r="E294" t="s">
        <v>214</v>
      </c>
      <c r="F294" t="s">
        <v>215</v>
      </c>
    </row>
    <row r="295" spans="1:6" x14ac:dyDescent="0.25">
      <c r="A295">
        <v>37</v>
      </c>
      <c r="B295" t="s">
        <v>225</v>
      </c>
      <c r="C295">
        <f>2633.21+2366.93</f>
        <v>5000.1399999999994</v>
      </c>
      <c r="D295">
        <f t="shared" si="30"/>
        <v>5000.1399999999994</v>
      </c>
      <c r="E295" t="s">
        <v>214</v>
      </c>
      <c r="F295" t="s">
        <v>215</v>
      </c>
    </row>
    <row r="296" spans="1:6" x14ac:dyDescent="0.25">
      <c r="A296">
        <v>37</v>
      </c>
      <c r="B296" t="s">
        <v>226</v>
      </c>
      <c r="C296">
        <f>655.75+589.44</f>
        <v>1245.19</v>
      </c>
      <c r="D296">
        <f t="shared" si="30"/>
        <v>1245.19</v>
      </c>
      <c r="E296" t="s">
        <v>214</v>
      </c>
      <c r="F296" t="s">
        <v>215</v>
      </c>
    </row>
    <row r="297" spans="1:6" x14ac:dyDescent="0.25">
      <c r="A297">
        <v>37</v>
      </c>
      <c r="B297" t="s">
        <v>227</v>
      </c>
      <c r="C297">
        <f>2520.84+2265.93</f>
        <v>4786.7700000000004</v>
      </c>
      <c r="D297">
        <f>2254.42+2040.67</f>
        <v>4295.09</v>
      </c>
      <c r="E297" t="s">
        <v>214</v>
      </c>
      <c r="F297" t="s">
        <v>215</v>
      </c>
    </row>
    <row r="298" spans="1:6" x14ac:dyDescent="0.25">
      <c r="A298">
        <v>37</v>
      </c>
      <c r="B298" t="s">
        <v>228</v>
      </c>
      <c r="C298">
        <f>533.7+479.73</f>
        <v>1013.4300000000001</v>
      </c>
      <c r="D298">
        <f t="shared" si="30"/>
        <v>1013.4300000000001</v>
      </c>
      <c r="E298" t="s">
        <v>214</v>
      </c>
      <c r="F298" t="s">
        <v>215</v>
      </c>
    </row>
    <row r="299" spans="1:6" x14ac:dyDescent="0.25">
      <c r="A299">
        <v>37</v>
      </c>
      <c r="B299" t="s">
        <v>229</v>
      </c>
      <c r="C299">
        <f>185.12+166.4</f>
        <v>351.52</v>
      </c>
      <c r="D299">
        <f>165.56+149.86</f>
        <v>315.42</v>
      </c>
      <c r="E299" t="s">
        <v>214</v>
      </c>
      <c r="F299" t="s">
        <v>215</v>
      </c>
    </row>
    <row r="300" spans="1:6" x14ac:dyDescent="0.25">
      <c r="A300">
        <v>38</v>
      </c>
      <c r="B300" t="s">
        <v>222</v>
      </c>
      <c r="C300">
        <f>22632.12+22632.12</f>
        <v>45264.24</v>
      </c>
      <c r="D300">
        <f>20230.66+20029.53</f>
        <v>40260.19</v>
      </c>
      <c r="E300" t="s">
        <v>214</v>
      </c>
      <c r="F300" t="s">
        <v>215</v>
      </c>
    </row>
    <row r="301" spans="1:6" x14ac:dyDescent="0.25">
      <c r="A301">
        <v>38</v>
      </c>
      <c r="B301" t="s">
        <v>223</v>
      </c>
      <c r="C301">
        <f>439.8+439.8</f>
        <v>879.6</v>
      </c>
      <c r="D301">
        <f t="shared" ref="D301:D306" si="31">+C301</f>
        <v>879.6</v>
      </c>
      <c r="E301" t="s">
        <v>214</v>
      </c>
      <c r="F301" t="s">
        <v>215</v>
      </c>
    </row>
    <row r="302" spans="1:6" x14ac:dyDescent="0.25">
      <c r="A302">
        <v>38</v>
      </c>
      <c r="B302" t="s">
        <v>224</v>
      </c>
      <c r="C302">
        <f>326.1+326.1</f>
        <v>652.20000000000005</v>
      </c>
      <c r="D302">
        <f t="shared" si="31"/>
        <v>652.20000000000005</v>
      </c>
      <c r="E302" t="s">
        <v>214</v>
      </c>
      <c r="F302" t="s">
        <v>215</v>
      </c>
    </row>
    <row r="303" spans="1:6" x14ac:dyDescent="0.25">
      <c r="A303">
        <v>38</v>
      </c>
      <c r="B303" t="s">
        <v>225</v>
      </c>
      <c r="C303">
        <f>2662.8+2662.8</f>
        <v>5325.6</v>
      </c>
      <c r="D303">
        <f t="shared" si="31"/>
        <v>5325.6</v>
      </c>
      <c r="E303" t="s">
        <v>214</v>
      </c>
      <c r="F303" t="s">
        <v>215</v>
      </c>
    </row>
    <row r="304" spans="1:6" x14ac:dyDescent="0.25">
      <c r="A304">
        <v>38</v>
      </c>
      <c r="B304" t="s">
        <v>226</v>
      </c>
      <c r="C304">
        <f>663.12+663.12</f>
        <v>1326.24</v>
      </c>
      <c r="D304">
        <f t="shared" si="31"/>
        <v>1326.24</v>
      </c>
      <c r="E304" t="s">
        <v>214</v>
      </c>
      <c r="F304" t="s">
        <v>215</v>
      </c>
    </row>
    <row r="305" spans="1:6" x14ac:dyDescent="0.25">
      <c r="A305">
        <v>38</v>
      </c>
      <c r="B305" t="s">
        <v>227</v>
      </c>
      <c r="C305">
        <f>2549.16+2549.16</f>
        <v>5098.32</v>
      </c>
      <c r="D305">
        <f>2278.67+2256.02</f>
        <v>4534.6900000000005</v>
      </c>
      <c r="E305" t="s">
        <v>214</v>
      </c>
      <c r="F305" t="s">
        <v>215</v>
      </c>
    </row>
    <row r="306" spans="1:6" x14ac:dyDescent="0.25">
      <c r="A306">
        <v>38</v>
      </c>
      <c r="B306" t="s">
        <v>228</v>
      </c>
      <c r="C306">
        <f>539.7+539.7</f>
        <v>1079.4000000000001</v>
      </c>
      <c r="D306">
        <f t="shared" si="31"/>
        <v>1079.4000000000001</v>
      </c>
      <c r="E306" t="s">
        <v>214</v>
      </c>
      <c r="F306" t="s">
        <v>215</v>
      </c>
    </row>
    <row r="307" spans="1:6" x14ac:dyDescent="0.25">
      <c r="A307">
        <v>38</v>
      </c>
      <c r="B307" t="s">
        <v>229</v>
      </c>
      <c r="C307">
        <f>187.2+187.2</f>
        <v>374.4</v>
      </c>
      <c r="D307">
        <f>167.34+165.67</f>
        <v>333.01</v>
      </c>
      <c r="E307" t="s">
        <v>214</v>
      </c>
      <c r="F307" t="s">
        <v>215</v>
      </c>
    </row>
    <row r="308" spans="1:6" x14ac:dyDescent="0.25">
      <c r="A308">
        <v>39</v>
      </c>
      <c r="B308" t="s">
        <v>222</v>
      </c>
      <c r="C308">
        <f>19521.42+19521.42</f>
        <v>39042.839999999997</v>
      </c>
      <c r="D308">
        <f>18290.59+18149.3</f>
        <v>36439.89</v>
      </c>
      <c r="E308" t="s">
        <v>214</v>
      </c>
      <c r="F308" t="s">
        <v>215</v>
      </c>
    </row>
    <row r="309" spans="1:6" x14ac:dyDescent="0.25">
      <c r="A309">
        <v>39</v>
      </c>
      <c r="B309" t="s">
        <v>223</v>
      </c>
      <c r="C309">
        <f>439.8+439.8</f>
        <v>879.6</v>
      </c>
      <c r="D309">
        <f t="shared" ref="D309:D314" si="32">+C309</f>
        <v>879.6</v>
      </c>
      <c r="E309" t="s">
        <v>214</v>
      </c>
      <c r="F309" t="s">
        <v>215</v>
      </c>
    </row>
    <row r="310" spans="1:6" x14ac:dyDescent="0.25">
      <c r="A310">
        <v>39</v>
      </c>
      <c r="B310" t="s">
        <v>224</v>
      </c>
      <c r="C310">
        <f>326.1+326.1</f>
        <v>652.20000000000005</v>
      </c>
      <c r="D310">
        <f t="shared" si="32"/>
        <v>652.20000000000005</v>
      </c>
      <c r="E310" t="s">
        <v>214</v>
      </c>
      <c r="F310" t="s">
        <v>215</v>
      </c>
    </row>
    <row r="311" spans="1:6" x14ac:dyDescent="0.25">
      <c r="A311">
        <v>39</v>
      </c>
      <c r="B311" t="s">
        <v>225</v>
      </c>
      <c r="C311">
        <f>2662.8+2662.8</f>
        <v>5325.6</v>
      </c>
      <c r="D311">
        <f t="shared" si="32"/>
        <v>5325.6</v>
      </c>
      <c r="E311" t="s">
        <v>214</v>
      </c>
      <c r="F311" t="s">
        <v>215</v>
      </c>
    </row>
    <row r="312" spans="1:6" x14ac:dyDescent="0.25">
      <c r="A312">
        <v>39</v>
      </c>
      <c r="B312" t="s">
        <v>226</v>
      </c>
      <c r="C312">
        <f>663.12+663.12</f>
        <v>1326.24</v>
      </c>
      <c r="D312">
        <f t="shared" si="32"/>
        <v>1326.24</v>
      </c>
      <c r="E312" t="s">
        <v>214</v>
      </c>
      <c r="F312" t="s">
        <v>215</v>
      </c>
    </row>
    <row r="313" spans="1:6" x14ac:dyDescent="0.25">
      <c r="A313">
        <v>39</v>
      </c>
      <c r="B313" t="s">
        <v>227</v>
      </c>
      <c r="C313">
        <v>0</v>
      </c>
      <c r="D313">
        <v>0</v>
      </c>
      <c r="E313" t="s">
        <v>214</v>
      </c>
      <c r="F313" t="s">
        <v>215</v>
      </c>
    </row>
    <row r="314" spans="1:6" x14ac:dyDescent="0.25">
      <c r="A314">
        <v>39</v>
      </c>
      <c r="B314" t="s">
        <v>228</v>
      </c>
      <c r="C314">
        <f>539.7+539.7</f>
        <v>1079.4000000000001</v>
      </c>
      <c r="D314">
        <f t="shared" si="32"/>
        <v>1079.4000000000001</v>
      </c>
      <c r="E314" t="s">
        <v>214</v>
      </c>
      <c r="F314" t="s">
        <v>215</v>
      </c>
    </row>
    <row r="315" spans="1:6" x14ac:dyDescent="0.25">
      <c r="A315">
        <v>39</v>
      </c>
      <c r="B315" t="s">
        <v>229</v>
      </c>
      <c r="C315">
        <f>187.2+187.2</f>
        <v>374.4</v>
      </c>
      <c r="D315">
        <f>175.4+174.04</f>
        <v>349.44</v>
      </c>
      <c r="E315" t="s">
        <v>214</v>
      </c>
      <c r="F315" t="s">
        <v>215</v>
      </c>
    </row>
    <row r="316" spans="1:6" x14ac:dyDescent="0.25">
      <c r="A316">
        <v>40</v>
      </c>
      <c r="B316" t="s">
        <v>222</v>
      </c>
      <c r="C316">
        <f>19521.42+19521.42</f>
        <v>39042.839999999997</v>
      </c>
      <c r="D316">
        <f>18290.59+18149.3</f>
        <v>36439.89</v>
      </c>
      <c r="E316" t="s">
        <v>214</v>
      </c>
      <c r="F316" t="s">
        <v>215</v>
      </c>
    </row>
    <row r="317" spans="1:6" x14ac:dyDescent="0.25">
      <c r="A317">
        <v>40</v>
      </c>
      <c r="B317" t="s">
        <v>223</v>
      </c>
      <c r="C317">
        <f>439.8+439.8</f>
        <v>879.6</v>
      </c>
      <c r="D317">
        <f t="shared" ref="D317:D322" si="33">+C317</f>
        <v>879.6</v>
      </c>
      <c r="E317" t="s">
        <v>214</v>
      </c>
      <c r="F317" t="s">
        <v>215</v>
      </c>
    </row>
    <row r="318" spans="1:6" x14ac:dyDescent="0.25">
      <c r="A318">
        <v>40</v>
      </c>
      <c r="B318" t="s">
        <v>224</v>
      </c>
      <c r="C318">
        <f>326.1+326.1</f>
        <v>652.20000000000005</v>
      </c>
      <c r="D318">
        <f t="shared" si="33"/>
        <v>652.20000000000005</v>
      </c>
      <c r="E318" t="s">
        <v>214</v>
      </c>
      <c r="F318" t="s">
        <v>215</v>
      </c>
    </row>
    <row r="319" spans="1:6" x14ac:dyDescent="0.25">
      <c r="A319">
        <v>40</v>
      </c>
      <c r="B319" t="s">
        <v>225</v>
      </c>
      <c r="C319">
        <f>2662.8+2662.8</f>
        <v>5325.6</v>
      </c>
      <c r="D319">
        <f t="shared" si="33"/>
        <v>5325.6</v>
      </c>
      <c r="E319" t="s">
        <v>214</v>
      </c>
      <c r="F319" t="s">
        <v>215</v>
      </c>
    </row>
    <row r="320" spans="1:6" x14ac:dyDescent="0.25">
      <c r="A320">
        <v>40</v>
      </c>
      <c r="B320" t="s">
        <v>226</v>
      </c>
      <c r="C320">
        <f>663.12+663.12</f>
        <v>1326.24</v>
      </c>
      <c r="D320">
        <f t="shared" si="33"/>
        <v>1326.24</v>
      </c>
      <c r="E320" t="s">
        <v>214</v>
      </c>
      <c r="F320" t="s">
        <v>215</v>
      </c>
    </row>
    <row r="321" spans="1:6" x14ac:dyDescent="0.25">
      <c r="A321">
        <v>40</v>
      </c>
      <c r="B321" t="s">
        <v>227</v>
      </c>
      <c r="C321">
        <v>0</v>
      </c>
      <c r="D321">
        <v>0</v>
      </c>
      <c r="E321" t="s">
        <v>214</v>
      </c>
      <c r="F321" t="s">
        <v>215</v>
      </c>
    </row>
    <row r="322" spans="1:6" x14ac:dyDescent="0.25">
      <c r="A322">
        <v>40</v>
      </c>
      <c r="B322" t="s">
        <v>228</v>
      </c>
      <c r="C322">
        <f>539.7+539.7</f>
        <v>1079.4000000000001</v>
      </c>
      <c r="D322">
        <f t="shared" si="33"/>
        <v>1079.4000000000001</v>
      </c>
      <c r="E322" t="s">
        <v>214</v>
      </c>
      <c r="F322" t="s">
        <v>215</v>
      </c>
    </row>
    <row r="323" spans="1:6" x14ac:dyDescent="0.25">
      <c r="A323">
        <v>40</v>
      </c>
      <c r="B323" t="s">
        <v>229</v>
      </c>
      <c r="C323">
        <f>187.2+187.2</f>
        <v>374.4</v>
      </c>
      <c r="D323">
        <f>175.4+174.04</f>
        <v>349.44</v>
      </c>
      <c r="E323" t="s">
        <v>214</v>
      </c>
      <c r="F323" t="s">
        <v>215</v>
      </c>
    </row>
    <row r="324" spans="1:6" x14ac:dyDescent="0.25">
      <c r="A324">
        <v>41</v>
      </c>
      <c r="B324" t="s">
        <v>222</v>
      </c>
      <c r="C324">
        <f>19521.42+19521.42</f>
        <v>39042.839999999997</v>
      </c>
      <c r="D324">
        <f>18290.59+18149.3</f>
        <v>36439.89</v>
      </c>
      <c r="E324" t="s">
        <v>214</v>
      </c>
      <c r="F324" t="s">
        <v>215</v>
      </c>
    </row>
    <row r="325" spans="1:6" x14ac:dyDescent="0.25">
      <c r="A325">
        <v>41</v>
      </c>
      <c r="B325" t="s">
        <v>223</v>
      </c>
      <c r="C325">
        <f>439.8+439.8</f>
        <v>879.6</v>
      </c>
      <c r="D325">
        <f t="shared" ref="D325:D330" si="34">+C325</f>
        <v>879.6</v>
      </c>
      <c r="E325" t="s">
        <v>214</v>
      </c>
      <c r="F325" t="s">
        <v>215</v>
      </c>
    </row>
    <row r="326" spans="1:6" x14ac:dyDescent="0.25">
      <c r="A326">
        <v>41</v>
      </c>
      <c r="B326" t="s">
        <v>224</v>
      </c>
      <c r="C326">
        <f>326.1+326.1</f>
        <v>652.20000000000005</v>
      </c>
      <c r="D326">
        <f t="shared" si="34"/>
        <v>652.20000000000005</v>
      </c>
      <c r="E326" t="s">
        <v>214</v>
      </c>
      <c r="F326" t="s">
        <v>215</v>
      </c>
    </row>
    <row r="327" spans="1:6" x14ac:dyDescent="0.25">
      <c r="A327">
        <v>41</v>
      </c>
      <c r="B327" t="s">
        <v>225</v>
      </c>
      <c r="C327">
        <f>2662.8+2662.8</f>
        <v>5325.6</v>
      </c>
      <c r="D327">
        <f t="shared" si="34"/>
        <v>5325.6</v>
      </c>
      <c r="E327" t="s">
        <v>214</v>
      </c>
      <c r="F327" t="s">
        <v>215</v>
      </c>
    </row>
    <row r="328" spans="1:6" x14ac:dyDescent="0.25">
      <c r="A328">
        <v>41</v>
      </c>
      <c r="B328" t="s">
        <v>226</v>
      </c>
      <c r="C328">
        <f>663.12+663.12</f>
        <v>1326.24</v>
      </c>
      <c r="D328">
        <f t="shared" si="34"/>
        <v>1326.24</v>
      </c>
      <c r="E328" t="s">
        <v>214</v>
      </c>
      <c r="F328" t="s">
        <v>215</v>
      </c>
    </row>
    <row r="329" spans="1:6" x14ac:dyDescent="0.25">
      <c r="A329">
        <v>41</v>
      </c>
      <c r="B329" t="s">
        <v>227</v>
      </c>
      <c r="C329">
        <v>0</v>
      </c>
      <c r="D329">
        <v>0</v>
      </c>
      <c r="E329" t="s">
        <v>214</v>
      </c>
      <c r="F329" t="s">
        <v>215</v>
      </c>
    </row>
    <row r="330" spans="1:6" x14ac:dyDescent="0.25">
      <c r="A330">
        <v>41</v>
      </c>
      <c r="B330" t="s">
        <v>228</v>
      </c>
      <c r="C330">
        <f>539.7+539.7</f>
        <v>1079.4000000000001</v>
      </c>
      <c r="D330">
        <f t="shared" si="34"/>
        <v>1079.4000000000001</v>
      </c>
      <c r="E330" t="s">
        <v>214</v>
      </c>
      <c r="F330" t="s">
        <v>215</v>
      </c>
    </row>
    <row r="331" spans="1:6" x14ac:dyDescent="0.25">
      <c r="A331">
        <v>41</v>
      </c>
      <c r="B331" t="s">
        <v>229</v>
      </c>
      <c r="C331">
        <f>187.2+187.2</f>
        <v>374.4</v>
      </c>
      <c r="D331">
        <f>175.4+174.04</f>
        <v>349.44</v>
      </c>
      <c r="E331" t="s">
        <v>214</v>
      </c>
      <c r="F331" t="s">
        <v>215</v>
      </c>
    </row>
    <row r="332" spans="1:6" x14ac:dyDescent="0.25">
      <c r="A332">
        <v>42</v>
      </c>
      <c r="B332" t="s">
        <v>222</v>
      </c>
      <c r="C332">
        <f>18870.71+18436.91</f>
        <v>37307.619999999995</v>
      </c>
      <c r="D332">
        <f>17771.42+17302.62</f>
        <v>35074.039999999994</v>
      </c>
      <c r="E332" t="s">
        <v>214</v>
      </c>
      <c r="F332" t="s">
        <v>215</v>
      </c>
    </row>
    <row r="333" spans="1:6" x14ac:dyDescent="0.25">
      <c r="A333">
        <v>42</v>
      </c>
      <c r="B333" t="s">
        <v>223</v>
      </c>
      <c r="C333">
        <f>425.14+415.36</f>
        <v>840.5</v>
      </c>
      <c r="D333">
        <f t="shared" ref="D333:D338" si="35">+C333</f>
        <v>840.5</v>
      </c>
      <c r="E333" t="s">
        <v>214</v>
      </c>
      <c r="F333" t="s">
        <v>215</v>
      </c>
    </row>
    <row r="334" spans="1:6" x14ac:dyDescent="0.25">
      <c r="A334">
        <v>42</v>
      </c>
      <c r="B334" t="s">
        <v>224</v>
      </c>
      <c r="C334">
        <f>315.23+307.99</f>
        <v>623.22</v>
      </c>
      <c r="D334">
        <f t="shared" si="35"/>
        <v>623.22</v>
      </c>
      <c r="E334" t="s">
        <v>214</v>
      </c>
      <c r="F334" t="s">
        <v>215</v>
      </c>
    </row>
    <row r="335" spans="1:6" x14ac:dyDescent="0.25">
      <c r="A335">
        <v>42</v>
      </c>
      <c r="B335" t="s">
        <v>225</v>
      </c>
      <c r="C335">
        <f>2574.04+2514.86</f>
        <v>5088.8999999999996</v>
      </c>
      <c r="D335">
        <f t="shared" si="35"/>
        <v>5088.8999999999996</v>
      </c>
      <c r="E335" t="s">
        <v>214</v>
      </c>
      <c r="F335" t="s">
        <v>215</v>
      </c>
    </row>
    <row r="336" spans="1:6" x14ac:dyDescent="0.25">
      <c r="A336">
        <v>42</v>
      </c>
      <c r="B336" t="s">
        <v>226</v>
      </c>
      <c r="C336">
        <f>641.01+626.27</f>
        <v>1267.28</v>
      </c>
      <c r="D336">
        <f t="shared" si="35"/>
        <v>1267.28</v>
      </c>
      <c r="E336" t="s">
        <v>214</v>
      </c>
      <c r="F336" t="s">
        <v>215</v>
      </c>
    </row>
    <row r="337" spans="1:6" x14ac:dyDescent="0.25">
      <c r="A337">
        <v>42</v>
      </c>
      <c r="B337" t="s">
        <v>227</v>
      </c>
      <c r="C337">
        <v>0</v>
      </c>
      <c r="D337">
        <v>0</v>
      </c>
      <c r="E337" t="s">
        <v>214</v>
      </c>
      <c r="F337" t="s">
        <v>215</v>
      </c>
    </row>
    <row r="338" spans="1:6" x14ac:dyDescent="0.25">
      <c r="A338">
        <v>42</v>
      </c>
      <c r="B338" t="s">
        <v>228</v>
      </c>
      <c r="C338">
        <f>521.71+509.71</f>
        <v>1031.42</v>
      </c>
      <c r="D338">
        <f t="shared" si="35"/>
        <v>1031.42</v>
      </c>
      <c r="E338" t="s">
        <v>214</v>
      </c>
      <c r="F338" t="s">
        <v>215</v>
      </c>
    </row>
    <row r="339" spans="1:6" x14ac:dyDescent="0.25">
      <c r="A339">
        <v>42</v>
      </c>
      <c r="B339" t="s">
        <v>229</v>
      </c>
      <c r="C339">
        <f>180.96+176.8</f>
        <v>357.76</v>
      </c>
      <c r="D339">
        <f>170.42+165.92</f>
        <v>336.34</v>
      </c>
      <c r="E339" t="s">
        <v>214</v>
      </c>
      <c r="F339" t="s">
        <v>215</v>
      </c>
    </row>
    <row r="340" spans="1:6" x14ac:dyDescent="0.25">
      <c r="A340">
        <v>43</v>
      </c>
      <c r="B340" t="s">
        <v>222</v>
      </c>
      <c r="C340">
        <f>19521.42+19521.42</f>
        <v>39042.839999999997</v>
      </c>
      <c r="D340">
        <f>18290.59+18149.3</f>
        <v>36439.89</v>
      </c>
      <c r="E340" t="s">
        <v>214</v>
      </c>
      <c r="F340" t="s">
        <v>215</v>
      </c>
    </row>
    <row r="341" spans="1:6" x14ac:dyDescent="0.25">
      <c r="A341">
        <v>43</v>
      </c>
      <c r="B341" t="s">
        <v>223</v>
      </c>
      <c r="C341">
        <f>439.8+439.8</f>
        <v>879.6</v>
      </c>
      <c r="D341">
        <f t="shared" ref="D341:D346" si="36">+C341</f>
        <v>879.6</v>
      </c>
      <c r="E341" t="s">
        <v>214</v>
      </c>
      <c r="F341" t="s">
        <v>215</v>
      </c>
    </row>
    <row r="342" spans="1:6" x14ac:dyDescent="0.25">
      <c r="A342">
        <v>43</v>
      </c>
      <c r="B342" t="s">
        <v>224</v>
      </c>
      <c r="C342">
        <f>326.1+326.1</f>
        <v>652.20000000000005</v>
      </c>
      <c r="D342">
        <f t="shared" si="36"/>
        <v>652.20000000000005</v>
      </c>
      <c r="E342" t="s">
        <v>214</v>
      </c>
      <c r="F342" t="s">
        <v>215</v>
      </c>
    </row>
    <row r="343" spans="1:6" x14ac:dyDescent="0.25">
      <c r="A343">
        <v>43</v>
      </c>
      <c r="B343" t="s">
        <v>225</v>
      </c>
      <c r="C343">
        <f>2662.8+2662.8</f>
        <v>5325.6</v>
      </c>
      <c r="D343">
        <f t="shared" si="36"/>
        <v>5325.6</v>
      </c>
      <c r="E343" t="s">
        <v>214</v>
      </c>
      <c r="F343" t="s">
        <v>215</v>
      </c>
    </row>
    <row r="344" spans="1:6" x14ac:dyDescent="0.25">
      <c r="A344">
        <v>43</v>
      </c>
      <c r="B344" t="s">
        <v>226</v>
      </c>
      <c r="C344">
        <f>663.12+663.12</f>
        <v>1326.24</v>
      </c>
      <c r="D344">
        <f t="shared" si="36"/>
        <v>1326.24</v>
      </c>
      <c r="E344" t="s">
        <v>214</v>
      </c>
      <c r="F344" t="s">
        <v>215</v>
      </c>
    </row>
    <row r="345" spans="1:6" x14ac:dyDescent="0.25">
      <c r="A345">
        <v>43</v>
      </c>
      <c r="B345" t="s">
        <v>227</v>
      </c>
      <c r="C345">
        <v>0</v>
      </c>
      <c r="D345">
        <v>0</v>
      </c>
      <c r="E345" t="s">
        <v>214</v>
      </c>
      <c r="F345" t="s">
        <v>215</v>
      </c>
    </row>
    <row r="346" spans="1:6" x14ac:dyDescent="0.25">
      <c r="A346">
        <v>43</v>
      </c>
      <c r="B346" t="s">
        <v>228</v>
      </c>
      <c r="C346">
        <f>539.7+539.7</f>
        <v>1079.4000000000001</v>
      </c>
      <c r="D346">
        <f t="shared" si="36"/>
        <v>1079.4000000000001</v>
      </c>
      <c r="E346" t="s">
        <v>214</v>
      </c>
      <c r="F346" t="s">
        <v>215</v>
      </c>
    </row>
    <row r="347" spans="1:6" x14ac:dyDescent="0.25">
      <c r="A347">
        <v>43</v>
      </c>
      <c r="B347" t="s">
        <v>229</v>
      </c>
      <c r="C347">
        <f>187.2+187.2</f>
        <v>374.4</v>
      </c>
      <c r="D347">
        <f>175.4+174.04</f>
        <v>349.44</v>
      </c>
      <c r="E347" t="s">
        <v>214</v>
      </c>
      <c r="F347" t="s">
        <v>215</v>
      </c>
    </row>
    <row r="348" spans="1:6" x14ac:dyDescent="0.25">
      <c r="A348">
        <v>44</v>
      </c>
      <c r="B348" t="s">
        <v>222</v>
      </c>
      <c r="C348">
        <f>23005.92+23005.92</f>
        <v>46011.839999999997</v>
      </c>
      <c r="D348">
        <f>19588.45+19700.65</f>
        <v>39289.100000000006</v>
      </c>
      <c r="E348" t="s">
        <v>214</v>
      </c>
      <c r="F348" t="s">
        <v>215</v>
      </c>
    </row>
    <row r="349" spans="1:6" x14ac:dyDescent="0.25">
      <c r="A349">
        <v>44</v>
      </c>
      <c r="B349" t="s">
        <v>223</v>
      </c>
      <c r="C349">
        <f>439.8+439.8</f>
        <v>879.6</v>
      </c>
      <c r="D349">
        <f t="shared" ref="D349:D354" si="37">+C349</f>
        <v>879.6</v>
      </c>
      <c r="E349" t="s">
        <v>214</v>
      </c>
      <c r="F349" t="s">
        <v>215</v>
      </c>
    </row>
    <row r="350" spans="1:6" x14ac:dyDescent="0.25">
      <c r="A350">
        <v>44</v>
      </c>
      <c r="B350" t="s">
        <v>224</v>
      </c>
      <c r="C350">
        <f>326.1+326.1</f>
        <v>652.20000000000005</v>
      </c>
      <c r="D350">
        <f t="shared" si="37"/>
        <v>652.20000000000005</v>
      </c>
      <c r="E350" t="s">
        <v>214</v>
      </c>
      <c r="F350" t="s">
        <v>215</v>
      </c>
    </row>
    <row r="351" spans="1:6" x14ac:dyDescent="0.25">
      <c r="A351">
        <v>44</v>
      </c>
      <c r="B351" t="s">
        <v>225</v>
      </c>
      <c r="C351">
        <f>2662.8+2662.8</f>
        <v>5325.6</v>
      </c>
      <c r="D351">
        <f t="shared" si="37"/>
        <v>5325.6</v>
      </c>
      <c r="E351" t="s">
        <v>214</v>
      </c>
      <c r="F351" t="s">
        <v>215</v>
      </c>
    </row>
    <row r="352" spans="1:6" x14ac:dyDescent="0.25">
      <c r="A352">
        <v>44</v>
      </c>
      <c r="B352" t="s">
        <v>226</v>
      </c>
      <c r="C352">
        <f>663.12+663.12</f>
        <v>1326.24</v>
      </c>
      <c r="D352">
        <f t="shared" si="37"/>
        <v>1326.24</v>
      </c>
      <c r="E352" t="s">
        <v>214</v>
      </c>
      <c r="F352" t="s">
        <v>215</v>
      </c>
    </row>
    <row r="353" spans="1:6" x14ac:dyDescent="0.25">
      <c r="A353">
        <v>44</v>
      </c>
      <c r="B353" t="s">
        <v>227</v>
      </c>
      <c r="C353">
        <f>9676.74+9676.74</f>
        <v>19353.48</v>
      </c>
      <c r="D353">
        <f>8239.29+8286.48</f>
        <v>16525.77</v>
      </c>
      <c r="E353" t="s">
        <v>214</v>
      </c>
      <c r="F353" t="s">
        <v>215</v>
      </c>
    </row>
    <row r="354" spans="1:6" x14ac:dyDescent="0.25">
      <c r="A354">
        <v>44</v>
      </c>
      <c r="B354" t="s">
        <v>228</v>
      </c>
      <c r="C354">
        <f>539.7+539.7</f>
        <v>1079.4000000000001</v>
      </c>
      <c r="D354">
        <f t="shared" si="37"/>
        <v>1079.4000000000001</v>
      </c>
      <c r="E354" t="s">
        <v>214</v>
      </c>
      <c r="F354" t="s">
        <v>215</v>
      </c>
    </row>
    <row r="355" spans="1:6" x14ac:dyDescent="0.25">
      <c r="A355">
        <v>44</v>
      </c>
      <c r="B355" t="s">
        <v>229</v>
      </c>
      <c r="C355">
        <f>4685.82+4685.82</f>
        <v>9371.64</v>
      </c>
      <c r="D355">
        <f>3989.75+4012.61</f>
        <v>8002.3600000000006</v>
      </c>
      <c r="E355" t="s">
        <v>214</v>
      </c>
      <c r="F355" t="s">
        <v>215</v>
      </c>
    </row>
    <row r="356" spans="1:6" x14ac:dyDescent="0.25">
      <c r="A356">
        <v>45</v>
      </c>
      <c r="B356" t="s">
        <v>222</v>
      </c>
      <c r="C356">
        <v>16996.400000000001</v>
      </c>
      <c r="D356">
        <v>13430.47</v>
      </c>
      <c r="E356" t="s">
        <v>214</v>
      </c>
      <c r="F356" t="s">
        <v>215</v>
      </c>
    </row>
    <row r="357" spans="1:6" x14ac:dyDescent="0.25">
      <c r="A357">
        <v>45</v>
      </c>
      <c r="B357" t="s">
        <v>223</v>
      </c>
      <c r="C357">
        <v>0</v>
      </c>
      <c r="D357">
        <v>0</v>
      </c>
      <c r="E357" t="s">
        <v>214</v>
      </c>
      <c r="F357" t="s">
        <v>215</v>
      </c>
    </row>
    <row r="358" spans="1:6" x14ac:dyDescent="0.25">
      <c r="A358">
        <v>45</v>
      </c>
      <c r="B358" t="s">
        <v>224</v>
      </c>
      <c r="C358">
        <v>0</v>
      </c>
      <c r="D358">
        <v>0</v>
      </c>
      <c r="E358" t="s">
        <v>214</v>
      </c>
      <c r="F358" t="s">
        <v>215</v>
      </c>
    </row>
    <row r="359" spans="1:6" x14ac:dyDescent="0.25">
      <c r="A359">
        <v>45</v>
      </c>
      <c r="B359" t="s">
        <v>225</v>
      </c>
      <c r="C359">
        <v>0</v>
      </c>
      <c r="D359">
        <v>0</v>
      </c>
      <c r="E359" t="s">
        <v>214</v>
      </c>
      <c r="F359" t="s">
        <v>215</v>
      </c>
    </row>
    <row r="360" spans="1:6" x14ac:dyDescent="0.25">
      <c r="A360">
        <v>45</v>
      </c>
      <c r="B360" t="s">
        <v>226</v>
      </c>
      <c r="C360">
        <v>0</v>
      </c>
      <c r="D360">
        <v>0</v>
      </c>
      <c r="E360" t="s">
        <v>214</v>
      </c>
      <c r="F360" t="s">
        <v>215</v>
      </c>
    </row>
    <row r="361" spans="1:6" x14ac:dyDescent="0.25">
      <c r="A361">
        <v>45</v>
      </c>
      <c r="B361" t="s">
        <v>227</v>
      </c>
      <c r="C361">
        <v>0</v>
      </c>
      <c r="D361">
        <v>0</v>
      </c>
      <c r="E361" t="s">
        <v>214</v>
      </c>
      <c r="F361" t="s">
        <v>215</v>
      </c>
    </row>
    <row r="362" spans="1:6" x14ac:dyDescent="0.25">
      <c r="A362">
        <v>45</v>
      </c>
      <c r="B362" t="s">
        <v>228</v>
      </c>
      <c r="C362">
        <v>0</v>
      </c>
      <c r="D362">
        <v>0</v>
      </c>
      <c r="E362" t="s">
        <v>214</v>
      </c>
      <c r="F362" t="s">
        <v>215</v>
      </c>
    </row>
    <row r="363" spans="1:6" x14ac:dyDescent="0.25">
      <c r="A363">
        <v>45</v>
      </c>
      <c r="B363" t="s">
        <v>229</v>
      </c>
      <c r="C363">
        <v>0</v>
      </c>
      <c r="D363">
        <v>0</v>
      </c>
      <c r="E363" t="s">
        <v>214</v>
      </c>
      <c r="F363" t="s">
        <v>215</v>
      </c>
    </row>
    <row r="364" spans="1:6" x14ac:dyDescent="0.25">
      <c r="A364">
        <v>46</v>
      </c>
      <c r="B364" t="s">
        <v>222</v>
      </c>
      <c r="C364">
        <f>18870.72+18220.01</f>
        <v>37090.729999999996</v>
      </c>
      <c r="D364">
        <f>17791.48+17132.1</f>
        <v>34923.58</v>
      </c>
      <c r="E364" t="s">
        <v>214</v>
      </c>
      <c r="F364" t="s">
        <v>215</v>
      </c>
    </row>
    <row r="365" spans="1:6" x14ac:dyDescent="0.25">
      <c r="A365">
        <v>46</v>
      </c>
      <c r="B365" t="s">
        <v>223</v>
      </c>
      <c r="C365">
        <f>425.13+410.47</f>
        <v>835.6</v>
      </c>
      <c r="D365">
        <f t="shared" ref="D365:D370" si="38">+C365</f>
        <v>835.6</v>
      </c>
      <c r="E365" t="s">
        <v>214</v>
      </c>
      <c r="F365" t="s">
        <v>215</v>
      </c>
    </row>
    <row r="366" spans="1:6" x14ac:dyDescent="0.25">
      <c r="A366">
        <v>46</v>
      </c>
      <c r="B366" t="s">
        <v>224</v>
      </c>
      <c r="C366">
        <f>315.24+304.37</f>
        <v>619.61</v>
      </c>
      <c r="D366">
        <f t="shared" si="38"/>
        <v>619.61</v>
      </c>
      <c r="E366" t="s">
        <v>214</v>
      </c>
      <c r="F366" t="s">
        <v>215</v>
      </c>
    </row>
    <row r="367" spans="1:6" x14ac:dyDescent="0.25">
      <c r="A367">
        <v>46</v>
      </c>
      <c r="B367" t="s">
        <v>225</v>
      </c>
      <c r="C367">
        <f>2574.03+2485.27</f>
        <v>5059.3</v>
      </c>
      <c r="D367">
        <f t="shared" si="38"/>
        <v>5059.3</v>
      </c>
      <c r="E367" t="s">
        <v>214</v>
      </c>
      <c r="F367" t="s">
        <v>215</v>
      </c>
    </row>
    <row r="368" spans="1:6" x14ac:dyDescent="0.25">
      <c r="A368">
        <v>46</v>
      </c>
      <c r="B368" t="s">
        <v>226</v>
      </c>
      <c r="C368">
        <f>641.01+618.91</f>
        <v>1259.92</v>
      </c>
      <c r="D368">
        <f t="shared" si="38"/>
        <v>1259.92</v>
      </c>
      <c r="E368" t="s">
        <v>214</v>
      </c>
      <c r="F368" t="s">
        <v>215</v>
      </c>
    </row>
    <row r="369" spans="1:6" x14ac:dyDescent="0.25">
      <c r="A369">
        <v>46</v>
      </c>
      <c r="B369" t="s">
        <v>227</v>
      </c>
      <c r="C369">
        <v>0</v>
      </c>
      <c r="D369">
        <v>0</v>
      </c>
      <c r="E369" t="s">
        <v>214</v>
      </c>
      <c r="F369" t="s">
        <v>215</v>
      </c>
    </row>
    <row r="370" spans="1:6" x14ac:dyDescent="0.25">
      <c r="A370">
        <v>46</v>
      </c>
      <c r="B370" t="s">
        <v>228</v>
      </c>
      <c r="C370">
        <f>521.7+503.71</f>
        <v>1025.4100000000001</v>
      </c>
      <c r="D370">
        <f t="shared" si="38"/>
        <v>1025.4100000000001</v>
      </c>
      <c r="E370" t="s">
        <v>214</v>
      </c>
      <c r="F370" t="s">
        <v>215</v>
      </c>
    </row>
    <row r="371" spans="1:6" x14ac:dyDescent="0.25">
      <c r="A371">
        <v>46</v>
      </c>
      <c r="B371" t="s">
        <v>229</v>
      </c>
      <c r="C371">
        <f>180.96+174.72</f>
        <v>355.68</v>
      </c>
      <c r="D371">
        <f>170.61+164.29</f>
        <v>334.9</v>
      </c>
      <c r="E371" t="s">
        <v>214</v>
      </c>
      <c r="F371" t="s">
        <v>215</v>
      </c>
    </row>
    <row r="372" spans="1:6" x14ac:dyDescent="0.25">
      <c r="A372">
        <v>47</v>
      </c>
      <c r="B372" t="s">
        <v>222</v>
      </c>
      <c r="C372">
        <f>19521.42+19521.42</f>
        <v>39042.839999999997</v>
      </c>
      <c r="D372">
        <f>18290.59+18149.3</f>
        <v>36439.89</v>
      </c>
      <c r="E372" t="s">
        <v>214</v>
      </c>
      <c r="F372" t="s">
        <v>215</v>
      </c>
    </row>
    <row r="373" spans="1:6" x14ac:dyDescent="0.25">
      <c r="A373">
        <v>47</v>
      </c>
      <c r="B373" t="s">
        <v>223</v>
      </c>
      <c r="C373">
        <f>439.8+439.8</f>
        <v>879.6</v>
      </c>
      <c r="D373">
        <f t="shared" ref="D373:D378" si="39">+C373</f>
        <v>879.6</v>
      </c>
      <c r="E373" t="s">
        <v>214</v>
      </c>
      <c r="F373" t="s">
        <v>215</v>
      </c>
    </row>
    <row r="374" spans="1:6" x14ac:dyDescent="0.25">
      <c r="A374">
        <v>47</v>
      </c>
      <c r="B374" t="s">
        <v>224</v>
      </c>
      <c r="C374">
        <f>326.1+326.1</f>
        <v>652.20000000000005</v>
      </c>
      <c r="D374">
        <f t="shared" si="39"/>
        <v>652.20000000000005</v>
      </c>
      <c r="E374" t="s">
        <v>214</v>
      </c>
      <c r="F374" t="s">
        <v>215</v>
      </c>
    </row>
    <row r="375" spans="1:6" x14ac:dyDescent="0.25">
      <c r="A375">
        <v>47</v>
      </c>
      <c r="B375" t="s">
        <v>225</v>
      </c>
      <c r="C375">
        <f>2662.8+2662.8</f>
        <v>5325.6</v>
      </c>
      <c r="D375">
        <f t="shared" si="39"/>
        <v>5325.6</v>
      </c>
      <c r="E375" t="s">
        <v>214</v>
      </c>
      <c r="F375" t="s">
        <v>215</v>
      </c>
    </row>
    <row r="376" spans="1:6" x14ac:dyDescent="0.25">
      <c r="A376">
        <v>47</v>
      </c>
      <c r="B376" t="s">
        <v>226</v>
      </c>
      <c r="C376">
        <f>663.12+663.12</f>
        <v>1326.24</v>
      </c>
      <c r="D376">
        <f t="shared" si="39"/>
        <v>1326.24</v>
      </c>
      <c r="E376" t="s">
        <v>214</v>
      </c>
      <c r="F376" t="s">
        <v>215</v>
      </c>
    </row>
    <row r="377" spans="1:6" x14ac:dyDescent="0.25">
      <c r="A377">
        <v>47</v>
      </c>
      <c r="B377" t="s">
        <v>227</v>
      </c>
      <c r="C377">
        <v>0</v>
      </c>
      <c r="D377">
        <v>0</v>
      </c>
      <c r="E377" t="s">
        <v>214</v>
      </c>
      <c r="F377" t="s">
        <v>215</v>
      </c>
    </row>
    <row r="378" spans="1:6" x14ac:dyDescent="0.25">
      <c r="A378">
        <v>47</v>
      </c>
      <c r="B378" t="s">
        <v>228</v>
      </c>
      <c r="C378">
        <f>539.7+539.7</f>
        <v>1079.4000000000001</v>
      </c>
      <c r="D378">
        <f t="shared" si="39"/>
        <v>1079.4000000000001</v>
      </c>
      <c r="E378" t="s">
        <v>214</v>
      </c>
      <c r="F378" t="s">
        <v>215</v>
      </c>
    </row>
    <row r="379" spans="1:6" x14ac:dyDescent="0.25">
      <c r="A379">
        <v>47</v>
      </c>
      <c r="B379" t="s">
        <v>229</v>
      </c>
      <c r="C379">
        <f>187.2+187.2</f>
        <v>374.4</v>
      </c>
      <c r="D379">
        <f>175.4+174.04</f>
        <v>349.44</v>
      </c>
      <c r="E379" t="s">
        <v>214</v>
      </c>
      <c r="F379" t="s">
        <v>215</v>
      </c>
    </row>
    <row r="380" spans="1:6" x14ac:dyDescent="0.25">
      <c r="A380">
        <v>48</v>
      </c>
      <c r="B380" t="s">
        <v>222</v>
      </c>
      <c r="C380">
        <v>109893</v>
      </c>
      <c r="D380">
        <v>84317.65</v>
      </c>
      <c r="E380" t="s">
        <v>214</v>
      </c>
      <c r="F380" t="s">
        <v>215</v>
      </c>
    </row>
    <row r="381" spans="1:6" x14ac:dyDescent="0.25">
      <c r="A381">
        <v>48</v>
      </c>
      <c r="B381" t="s">
        <v>223</v>
      </c>
      <c r="C381">
        <v>0</v>
      </c>
      <c r="D381">
        <v>0</v>
      </c>
      <c r="E381" t="s">
        <v>214</v>
      </c>
      <c r="F381" t="s">
        <v>215</v>
      </c>
    </row>
    <row r="382" spans="1:6" x14ac:dyDescent="0.25">
      <c r="A382">
        <v>48</v>
      </c>
      <c r="B382" t="s">
        <v>224</v>
      </c>
      <c r="C382">
        <v>0</v>
      </c>
      <c r="D382">
        <v>0</v>
      </c>
      <c r="E382" t="s">
        <v>214</v>
      </c>
      <c r="F382" t="s">
        <v>215</v>
      </c>
    </row>
    <row r="383" spans="1:6" x14ac:dyDescent="0.25">
      <c r="A383">
        <v>48</v>
      </c>
      <c r="B383" t="s">
        <v>225</v>
      </c>
      <c r="C383">
        <v>0</v>
      </c>
      <c r="D383">
        <v>0</v>
      </c>
      <c r="E383" t="s">
        <v>214</v>
      </c>
      <c r="F383" t="s">
        <v>215</v>
      </c>
    </row>
    <row r="384" spans="1:6" x14ac:dyDescent="0.25">
      <c r="A384">
        <v>48</v>
      </c>
      <c r="B384" t="s">
        <v>226</v>
      </c>
      <c r="C384">
        <v>0</v>
      </c>
      <c r="D384">
        <v>0</v>
      </c>
      <c r="E384" t="s">
        <v>214</v>
      </c>
      <c r="F384" t="s">
        <v>215</v>
      </c>
    </row>
    <row r="385" spans="1:6" x14ac:dyDescent="0.25">
      <c r="A385">
        <v>48</v>
      </c>
      <c r="B385" t="s">
        <v>227</v>
      </c>
      <c r="C385">
        <v>0</v>
      </c>
      <c r="D385">
        <v>0</v>
      </c>
      <c r="E385" t="s">
        <v>214</v>
      </c>
      <c r="F385" t="s">
        <v>215</v>
      </c>
    </row>
    <row r="386" spans="1:6" x14ac:dyDescent="0.25">
      <c r="A386">
        <v>48</v>
      </c>
      <c r="B386" t="s">
        <v>228</v>
      </c>
      <c r="C386">
        <v>0</v>
      </c>
      <c r="D386">
        <v>0</v>
      </c>
      <c r="E386" t="s">
        <v>214</v>
      </c>
      <c r="F386" t="s">
        <v>215</v>
      </c>
    </row>
    <row r="387" spans="1:6" x14ac:dyDescent="0.25">
      <c r="A387">
        <v>48</v>
      </c>
      <c r="B387" t="s">
        <v>229</v>
      </c>
      <c r="C387">
        <v>0</v>
      </c>
      <c r="D387">
        <v>0</v>
      </c>
      <c r="E387" t="s">
        <v>214</v>
      </c>
      <c r="F387" t="s">
        <v>215</v>
      </c>
    </row>
    <row r="388" spans="1:6" x14ac:dyDescent="0.25">
      <c r="A388">
        <v>49</v>
      </c>
      <c r="B388" t="s">
        <v>222</v>
      </c>
      <c r="C388">
        <f>82339.8+53978.31</f>
        <v>136318.10999999999</v>
      </c>
      <c r="D388">
        <f>66294.96+43207.61</f>
        <v>109502.57</v>
      </c>
      <c r="E388" t="s">
        <v>214</v>
      </c>
      <c r="F388" t="s">
        <v>215</v>
      </c>
    </row>
    <row r="389" spans="1:6" x14ac:dyDescent="0.25">
      <c r="A389">
        <v>49</v>
      </c>
      <c r="B389" t="s">
        <v>223</v>
      </c>
      <c r="C389">
        <v>0</v>
      </c>
      <c r="D389">
        <v>0</v>
      </c>
      <c r="E389" t="s">
        <v>214</v>
      </c>
      <c r="F389" t="s">
        <v>215</v>
      </c>
    </row>
    <row r="390" spans="1:6" x14ac:dyDescent="0.25">
      <c r="A390">
        <v>49</v>
      </c>
      <c r="B390" t="s">
        <v>224</v>
      </c>
      <c r="C390">
        <v>0</v>
      </c>
      <c r="D390">
        <v>0</v>
      </c>
      <c r="E390" t="s">
        <v>214</v>
      </c>
      <c r="F390" t="s">
        <v>215</v>
      </c>
    </row>
    <row r="391" spans="1:6" x14ac:dyDescent="0.25">
      <c r="A391">
        <v>49</v>
      </c>
      <c r="B391" t="s">
        <v>225</v>
      </c>
      <c r="C391">
        <v>0</v>
      </c>
      <c r="D391">
        <v>0</v>
      </c>
      <c r="E391" t="s">
        <v>214</v>
      </c>
      <c r="F391" t="s">
        <v>215</v>
      </c>
    </row>
    <row r="392" spans="1:6" x14ac:dyDescent="0.25">
      <c r="A392">
        <v>49</v>
      </c>
      <c r="B392" t="s">
        <v>226</v>
      </c>
      <c r="C392">
        <v>0</v>
      </c>
      <c r="D392">
        <v>0</v>
      </c>
      <c r="E392" t="s">
        <v>214</v>
      </c>
      <c r="F392" t="s">
        <v>215</v>
      </c>
    </row>
    <row r="393" spans="1:6" x14ac:dyDescent="0.25">
      <c r="A393">
        <v>49</v>
      </c>
      <c r="B393" t="s">
        <v>227</v>
      </c>
      <c r="C393">
        <v>0</v>
      </c>
      <c r="D393">
        <v>0</v>
      </c>
      <c r="E393" t="s">
        <v>214</v>
      </c>
      <c r="F393" t="s">
        <v>215</v>
      </c>
    </row>
    <row r="394" spans="1:6" x14ac:dyDescent="0.25">
      <c r="A394">
        <v>49</v>
      </c>
      <c r="B394" t="s">
        <v>228</v>
      </c>
      <c r="C394">
        <v>0</v>
      </c>
      <c r="D394">
        <v>0</v>
      </c>
      <c r="E394" t="s">
        <v>214</v>
      </c>
      <c r="F394" t="s">
        <v>215</v>
      </c>
    </row>
    <row r="395" spans="1:6" x14ac:dyDescent="0.25">
      <c r="A395">
        <v>49</v>
      </c>
      <c r="B395" t="s">
        <v>229</v>
      </c>
      <c r="C395">
        <v>0</v>
      </c>
      <c r="D395">
        <v>0</v>
      </c>
      <c r="E395" t="s">
        <v>214</v>
      </c>
      <c r="F395" t="s">
        <v>215</v>
      </c>
    </row>
    <row r="396" spans="1:6" x14ac:dyDescent="0.25">
      <c r="A396">
        <v>50</v>
      </c>
      <c r="B396" t="s">
        <v>222</v>
      </c>
      <c r="C396">
        <f>82339.8+82339.8</f>
        <v>164679.6</v>
      </c>
      <c r="D396">
        <f>65886.36+65818.86</f>
        <v>131705.22</v>
      </c>
      <c r="E396" t="s">
        <v>214</v>
      </c>
      <c r="F396" t="s">
        <v>215</v>
      </c>
    </row>
    <row r="397" spans="1:6" x14ac:dyDescent="0.25">
      <c r="A397">
        <v>50</v>
      </c>
      <c r="B397" t="s">
        <v>223</v>
      </c>
      <c r="C397">
        <v>0</v>
      </c>
      <c r="D397">
        <v>0</v>
      </c>
      <c r="E397" t="s">
        <v>214</v>
      </c>
      <c r="F397" t="s">
        <v>215</v>
      </c>
    </row>
    <row r="398" spans="1:6" x14ac:dyDescent="0.25">
      <c r="A398">
        <v>50</v>
      </c>
      <c r="B398" t="s">
        <v>224</v>
      </c>
      <c r="C398">
        <v>0</v>
      </c>
      <c r="D398">
        <v>0</v>
      </c>
      <c r="E398" t="s">
        <v>214</v>
      </c>
      <c r="F398" t="s">
        <v>215</v>
      </c>
    </row>
    <row r="399" spans="1:6" x14ac:dyDescent="0.25">
      <c r="A399">
        <v>50</v>
      </c>
      <c r="B399" t="s">
        <v>225</v>
      </c>
      <c r="C399">
        <v>0</v>
      </c>
      <c r="D399">
        <v>0</v>
      </c>
      <c r="E399" t="s">
        <v>214</v>
      </c>
      <c r="F399" t="s">
        <v>215</v>
      </c>
    </row>
    <row r="400" spans="1:6" x14ac:dyDescent="0.25">
      <c r="A400">
        <v>50</v>
      </c>
      <c r="B400" t="s">
        <v>226</v>
      </c>
      <c r="C400">
        <v>0</v>
      </c>
      <c r="D400">
        <v>0</v>
      </c>
      <c r="E400" t="s">
        <v>214</v>
      </c>
      <c r="F400" t="s">
        <v>215</v>
      </c>
    </row>
    <row r="401" spans="1:6" x14ac:dyDescent="0.25">
      <c r="A401">
        <v>50</v>
      </c>
      <c r="B401" t="s">
        <v>227</v>
      </c>
      <c r="C401">
        <v>0</v>
      </c>
      <c r="D401">
        <v>0</v>
      </c>
      <c r="E401" t="s">
        <v>214</v>
      </c>
      <c r="F401" t="s">
        <v>215</v>
      </c>
    </row>
    <row r="402" spans="1:6" x14ac:dyDescent="0.25">
      <c r="A402">
        <v>50</v>
      </c>
      <c r="B402" t="s">
        <v>228</v>
      </c>
      <c r="C402">
        <v>0</v>
      </c>
      <c r="D402">
        <v>0</v>
      </c>
      <c r="E402" t="s">
        <v>214</v>
      </c>
      <c r="F402" t="s">
        <v>215</v>
      </c>
    </row>
    <row r="403" spans="1:6" x14ac:dyDescent="0.25">
      <c r="A403">
        <v>50</v>
      </c>
      <c r="B403" t="s">
        <v>229</v>
      </c>
      <c r="C403">
        <v>0</v>
      </c>
      <c r="D403">
        <v>0</v>
      </c>
      <c r="E403" t="s">
        <v>214</v>
      </c>
      <c r="F403" t="s">
        <v>215</v>
      </c>
    </row>
    <row r="404" spans="1:6" x14ac:dyDescent="0.25">
      <c r="A404">
        <v>51</v>
      </c>
      <c r="B404" t="s">
        <v>222</v>
      </c>
      <c r="C404">
        <f>22632.12+22129.18</f>
        <v>44761.3</v>
      </c>
      <c r="D404">
        <f>20230.66+19598.86</f>
        <v>39829.520000000004</v>
      </c>
      <c r="E404" t="s">
        <v>214</v>
      </c>
      <c r="F404" t="s">
        <v>215</v>
      </c>
    </row>
    <row r="405" spans="1:6" x14ac:dyDescent="0.25">
      <c r="A405">
        <v>51</v>
      </c>
      <c r="B405" t="s">
        <v>223</v>
      </c>
      <c r="C405">
        <f>439.8+430.03</f>
        <v>869.82999999999993</v>
      </c>
      <c r="D405">
        <f t="shared" ref="D405:D410" si="40">+C405</f>
        <v>869.82999999999993</v>
      </c>
      <c r="E405" t="s">
        <v>214</v>
      </c>
      <c r="F405" t="s">
        <v>215</v>
      </c>
    </row>
    <row r="406" spans="1:6" x14ac:dyDescent="0.25">
      <c r="A406">
        <v>51</v>
      </c>
      <c r="B406" t="s">
        <v>224</v>
      </c>
      <c r="C406">
        <f>326.1+318.85</f>
        <v>644.95000000000005</v>
      </c>
      <c r="D406">
        <f t="shared" si="40"/>
        <v>644.95000000000005</v>
      </c>
      <c r="E406" t="s">
        <v>214</v>
      </c>
      <c r="F406" t="s">
        <v>215</v>
      </c>
    </row>
    <row r="407" spans="1:6" x14ac:dyDescent="0.25">
      <c r="A407">
        <v>51</v>
      </c>
      <c r="B407" t="s">
        <v>225</v>
      </c>
      <c r="C407">
        <f>2662.8+2603.63</f>
        <v>5266.43</v>
      </c>
      <c r="D407">
        <f t="shared" si="40"/>
        <v>5266.43</v>
      </c>
      <c r="E407" t="s">
        <v>214</v>
      </c>
      <c r="F407" t="s">
        <v>215</v>
      </c>
    </row>
    <row r="408" spans="1:6" x14ac:dyDescent="0.25">
      <c r="A408">
        <v>51</v>
      </c>
      <c r="B408" t="s">
        <v>226</v>
      </c>
      <c r="C408">
        <f>663.12+648.38</f>
        <v>1311.5</v>
      </c>
      <c r="D408">
        <f t="shared" si="40"/>
        <v>1311.5</v>
      </c>
      <c r="E408" t="s">
        <v>214</v>
      </c>
      <c r="F408" t="s">
        <v>215</v>
      </c>
    </row>
    <row r="409" spans="1:6" x14ac:dyDescent="0.25">
      <c r="A409">
        <v>51</v>
      </c>
      <c r="B409" t="s">
        <v>227</v>
      </c>
      <c r="C409">
        <f>2549.16+2492.51</f>
        <v>5041.67</v>
      </c>
      <c r="D409">
        <f>2278.67+2207.51</f>
        <v>4486.18</v>
      </c>
      <c r="E409" t="s">
        <v>214</v>
      </c>
      <c r="F409" t="s">
        <v>215</v>
      </c>
    </row>
    <row r="410" spans="1:6" x14ac:dyDescent="0.25">
      <c r="A410">
        <v>51</v>
      </c>
      <c r="B410" t="s">
        <v>228</v>
      </c>
      <c r="C410">
        <f>539.7+527.71</f>
        <v>1067.4100000000001</v>
      </c>
      <c r="D410">
        <f t="shared" si="40"/>
        <v>1067.4100000000001</v>
      </c>
      <c r="E410" t="s">
        <v>214</v>
      </c>
      <c r="F410" t="s">
        <v>215</v>
      </c>
    </row>
    <row r="411" spans="1:6" x14ac:dyDescent="0.25">
      <c r="A411">
        <v>51</v>
      </c>
      <c r="B411" t="s">
        <v>229</v>
      </c>
      <c r="C411">
        <f>187.2+183.04</f>
        <v>370.24</v>
      </c>
      <c r="D411">
        <f>167.34+162.11</f>
        <v>329.45000000000005</v>
      </c>
      <c r="E411" t="s">
        <v>214</v>
      </c>
      <c r="F411" t="s">
        <v>215</v>
      </c>
    </row>
    <row r="412" spans="1:6" x14ac:dyDescent="0.25">
      <c r="A412">
        <v>52</v>
      </c>
      <c r="B412" t="s">
        <v>222</v>
      </c>
      <c r="C412">
        <f>19521.42+19521.42</f>
        <v>39042.839999999997</v>
      </c>
      <c r="D412">
        <f>17453.84+17284.16</f>
        <v>34738</v>
      </c>
      <c r="E412" t="s">
        <v>214</v>
      </c>
      <c r="F412" t="s">
        <v>215</v>
      </c>
    </row>
    <row r="413" spans="1:6" x14ac:dyDescent="0.25">
      <c r="A413">
        <v>52</v>
      </c>
      <c r="B413" t="s">
        <v>223</v>
      </c>
      <c r="C413">
        <f>439.8+439.8</f>
        <v>879.6</v>
      </c>
      <c r="D413">
        <f t="shared" ref="D413:D418" si="41">+C413</f>
        <v>879.6</v>
      </c>
      <c r="E413" t="s">
        <v>214</v>
      </c>
      <c r="F413" t="s">
        <v>215</v>
      </c>
    </row>
    <row r="414" spans="1:6" x14ac:dyDescent="0.25">
      <c r="A414">
        <v>52</v>
      </c>
      <c r="B414" t="s">
        <v>224</v>
      </c>
      <c r="C414">
        <f>326.1+326.1</f>
        <v>652.20000000000005</v>
      </c>
      <c r="D414">
        <f t="shared" si="41"/>
        <v>652.20000000000005</v>
      </c>
      <c r="E414" t="s">
        <v>214</v>
      </c>
      <c r="F414" t="s">
        <v>215</v>
      </c>
    </row>
    <row r="415" spans="1:6" x14ac:dyDescent="0.25">
      <c r="A415">
        <v>52</v>
      </c>
      <c r="B415" t="s">
        <v>225</v>
      </c>
      <c r="C415">
        <f>2662.8+2662.8</f>
        <v>5325.6</v>
      </c>
      <c r="D415">
        <f t="shared" si="41"/>
        <v>5325.6</v>
      </c>
      <c r="E415" t="s">
        <v>214</v>
      </c>
      <c r="F415" t="s">
        <v>215</v>
      </c>
    </row>
    <row r="416" spans="1:6" x14ac:dyDescent="0.25">
      <c r="A416">
        <v>52</v>
      </c>
      <c r="B416" t="s">
        <v>226</v>
      </c>
      <c r="C416">
        <f>663.12+663.12</f>
        <v>1326.24</v>
      </c>
      <c r="D416">
        <f t="shared" si="41"/>
        <v>1326.24</v>
      </c>
      <c r="E416" t="s">
        <v>214</v>
      </c>
      <c r="F416" t="s">
        <v>215</v>
      </c>
    </row>
    <row r="417" spans="1:6" x14ac:dyDescent="0.25">
      <c r="A417">
        <v>52</v>
      </c>
      <c r="B417" t="s">
        <v>227</v>
      </c>
      <c r="C417">
        <f>5659.86+5659.86</f>
        <v>11319.72</v>
      </c>
      <c r="D417">
        <f>5060.41+5011.21</f>
        <v>10071.619999999999</v>
      </c>
      <c r="E417" t="s">
        <v>214</v>
      </c>
      <c r="F417" t="s">
        <v>215</v>
      </c>
    </row>
    <row r="418" spans="1:6" x14ac:dyDescent="0.25">
      <c r="A418">
        <v>52</v>
      </c>
      <c r="B418" t="s">
        <v>228</v>
      </c>
      <c r="C418">
        <f>539.7+539.7</f>
        <v>1079.4000000000001</v>
      </c>
      <c r="D418">
        <f t="shared" si="41"/>
        <v>1079.4000000000001</v>
      </c>
      <c r="E418" t="s">
        <v>214</v>
      </c>
      <c r="F418" t="s">
        <v>215</v>
      </c>
    </row>
    <row r="419" spans="1:6" x14ac:dyDescent="0.25">
      <c r="A419">
        <v>52</v>
      </c>
      <c r="B419" t="s">
        <v>229</v>
      </c>
      <c r="C419">
        <f>187.2+187.2</f>
        <v>374.4</v>
      </c>
      <c r="D419">
        <f>167.37+165.75</f>
        <v>333.12</v>
      </c>
      <c r="E419" t="s">
        <v>214</v>
      </c>
      <c r="F419" t="s">
        <v>215</v>
      </c>
    </row>
    <row r="420" spans="1:6" x14ac:dyDescent="0.25">
      <c r="A420">
        <v>53</v>
      </c>
      <c r="B420" t="s">
        <v>222</v>
      </c>
      <c r="C420">
        <f>68063.7+9831.42</f>
        <v>77895.12</v>
      </c>
      <c r="D420">
        <f>55357.71+8067.22</f>
        <v>63424.93</v>
      </c>
      <c r="E420" t="s">
        <v>214</v>
      </c>
      <c r="F420" t="s">
        <v>215</v>
      </c>
    </row>
    <row r="421" spans="1:6" x14ac:dyDescent="0.25">
      <c r="A421">
        <v>53</v>
      </c>
      <c r="B421" t="s">
        <v>223</v>
      </c>
      <c r="C421">
        <v>0</v>
      </c>
      <c r="D421">
        <v>0</v>
      </c>
      <c r="E421" t="s">
        <v>214</v>
      </c>
      <c r="F421" t="s">
        <v>215</v>
      </c>
    </row>
    <row r="422" spans="1:6" x14ac:dyDescent="0.25">
      <c r="A422">
        <v>53</v>
      </c>
      <c r="B422" t="s">
        <v>224</v>
      </c>
      <c r="C422">
        <v>0</v>
      </c>
      <c r="D422">
        <v>0</v>
      </c>
      <c r="E422" t="s">
        <v>214</v>
      </c>
      <c r="F422" t="s">
        <v>215</v>
      </c>
    </row>
    <row r="423" spans="1:6" x14ac:dyDescent="0.25">
      <c r="A423">
        <v>53</v>
      </c>
      <c r="B423" t="s">
        <v>225</v>
      </c>
      <c r="C423">
        <v>0</v>
      </c>
      <c r="D423">
        <v>0</v>
      </c>
      <c r="E423" t="s">
        <v>214</v>
      </c>
      <c r="F423" t="s">
        <v>215</v>
      </c>
    </row>
    <row r="424" spans="1:6" x14ac:dyDescent="0.25">
      <c r="A424">
        <v>53</v>
      </c>
      <c r="B424" t="s">
        <v>226</v>
      </c>
      <c r="C424">
        <v>0</v>
      </c>
      <c r="D424">
        <v>0</v>
      </c>
      <c r="E424" t="s">
        <v>214</v>
      </c>
      <c r="F424" t="s">
        <v>215</v>
      </c>
    </row>
    <row r="425" spans="1:6" x14ac:dyDescent="0.25">
      <c r="A425">
        <v>53</v>
      </c>
      <c r="B425" t="s">
        <v>227</v>
      </c>
      <c r="C425">
        <v>0</v>
      </c>
      <c r="D425">
        <v>0</v>
      </c>
      <c r="E425" t="s">
        <v>214</v>
      </c>
      <c r="F425" t="s">
        <v>215</v>
      </c>
    </row>
    <row r="426" spans="1:6" x14ac:dyDescent="0.25">
      <c r="A426">
        <v>53</v>
      </c>
      <c r="B426" t="s">
        <v>228</v>
      </c>
      <c r="C426">
        <v>0</v>
      </c>
      <c r="D426">
        <v>0</v>
      </c>
      <c r="E426" t="s">
        <v>214</v>
      </c>
      <c r="F426" t="s">
        <v>215</v>
      </c>
    </row>
    <row r="427" spans="1:6" x14ac:dyDescent="0.25">
      <c r="A427">
        <v>53</v>
      </c>
      <c r="B427" t="s">
        <v>229</v>
      </c>
      <c r="C427">
        <v>0</v>
      </c>
      <c r="D427">
        <v>0</v>
      </c>
      <c r="E427" t="s">
        <v>214</v>
      </c>
      <c r="F427" t="s">
        <v>215</v>
      </c>
    </row>
    <row r="428" spans="1:6" x14ac:dyDescent="0.25">
      <c r="A428">
        <v>54</v>
      </c>
      <c r="B428" t="s">
        <v>222</v>
      </c>
      <c r="C428">
        <v>0</v>
      </c>
      <c r="D428">
        <v>0</v>
      </c>
      <c r="E428" t="s">
        <v>214</v>
      </c>
      <c r="F428" t="s">
        <v>215</v>
      </c>
    </row>
    <row r="429" spans="1:6" x14ac:dyDescent="0.25">
      <c r="A429">
        <v>54</v>
      </c>
      <c r="B429" t="s">
        <v>223</v>
      </c>
      <c r="C429">
        <v>0</v>
      </c>
      <c r="D429">
        <v>0</v>
      </c>
      <c r="E429" t="s">
        <v>214</v>
      </c>
      <c r="F429" t="s">
        <v>215</v>
      </c>
    </row>
    <row r="430" spans="1:6" x14ac:dyDescent="0.25">
      <c r="A430">
        <v>54</v>
      </c>
      <c r="B430" t="s">
        <v>224</v>
      </c>
      <c r="C430">
        <v>0</v>
      </c>
      <c r="D430">
        <v>0</v>
      </c>
      <c r="E430" t="s">
        <v>214</v>
      </c>
      <c r="F430" t="s">
        <v>215</v>
      </c>
    </row>
    <row r="431" spans="1:6" x14ac:dyDescent="0.25">
      <c r="A431">
        <v>54</v>
      </c>
      <c r="B431" t="s">
        <v>225</v>
      </c>
      <c r="C431">
        <v>0</v>
      </c>
      <c r="D431">
        <v>0</v>
      </c>
      <c r="E431" t="s">
        <v>214</v>
      </c>
      <c r="F431" t="s">
        <v>215</v>
      </c>
    </row>
    <row r="432" spans="1:6" x14ac:dyDescent="0.25">
      <c r="A432">
        <v>54</v>
      </c>
      <c r="B432" t="s">
        <v>226</v>
      </c>
      <c r="C432">
        <v>0</v>
      </c>
      <c r="D432">
        <v>0</v>
      </c>
      <c r="E432" t="s">
        <v>214</v>
      </c>
      <c r="F432" t="s">
        <v>215</v>
      </c>
    </row>
    <row r="433" spans="1:6" x14ac:dyDescent="0.25">
      <c r="A433">
        <v>54</v>
      </c>
      <c r="B433" t="s">
        <v>227</v>
      </c>
      <c r="C433">
        <v>0</v>
      </c>
      <c r="D433">
        <v>0</v>
      </c>
      <c r="E433" t="s">
        <v>214</v>
      </c>
      <c r="F433" t="s">
        <v>215</v>
      </c>
    </row>
    <row r="434" spans="1:6" x14ac:dyDescent="0.25">
      <c r="A434">
        <v>54</v>
      </c>
      <c r="B434" t="s">
        <v>228</v>
      </c>
      <c r="C434">
        <v>0</v>
      </c>
      <c r="D434">
        <v>0</v>
      </c>
      <c r="E434" t="s">
        <v>214</v>
      </c>
      <c r="F434" t="s">
        <v>215</v>
      </c>
    </row>
    <row r="435" spans="1:6" x14ac:dyDescent="0.25">
      <c r="A435">
        <v>54</v>
      </c>
      <c r="B435" t="s">
        <v>229</v>
      </c>
      <c r="C435">
        <v>0</v>
      </c>
      <c r="D435">
        <v>0</v>
      </c>
      <c r="E435" t="s">
        <v>214</v>
      </c>
      <c r="F435" t="s">
        <v>215</v>
      </c>
    </row>
    <row r="436" spans="1:6" x14ac:dyDescent="0.25">
      <c r="A436">
        <v>55</v>
      </c>
      <c r="B436" t="s">
        <v>222</v>
      </c>
      <c r="C436">
        <v>7544.04</v>
      </c>
      <c r="D436">
        <v>6566.97</v>
      </c>
      <c r="E436" t="s">
        <v>214</v>
      </c>
      <c r="F436" t="s">
        <v>215</v>
      </c>
    </row>
    <row r="437" spans="1:6" x14ac:dyDescent="0.25">
      <c r="A437">
        <v>55</v>
      </c>
      <c r="B437" t="s">
        <v>223</v>
      </c>
      <c r="C437">
        <v>146.6</v>
      </c>
      <c r="D437">
        <f t="shared" ref="D437:D442" si="42">+C437</f>
        <v>146.6</v>
      </c>
      <c r="E437" t="s">
        <v>214</v>
      </c>
      <c r="F437" t="s">
        <v>215</v>
      </c>
    </row>
    <row r="438" spans="1:6" x14ac:dyDescent="0.25">
      <c r="A438">
        <v>55</v>
      </c>
      <c r="B438" t="s">
        <v>224</v>
      </c>
      <c r="C438">
        <v>108.7</v>
      </c>
      <c r="D438">
        <f t="shared" si="42"/>
        <v>108.7</v>
      </c>
      <c r="E438" t="s">
        <v>214</v>
      </c>
      <c r="F438" t="s">
        <v>215</v>
      </c>
    </row>
    <row r="439" spans="1:6" x14ac:dyDescent="0.25">
      <c r="A439">
        <v>55</v>
      </c>
      <c r="B439" t="s">
        <v>225</v>
      </c>
      <c r="C439">
        <v>887.6</v>
      </c>
      <c r="D439">
        <f t="shared" si="42"/>
        <v>887.6</v>
      </c>
      <c r="E439" t="s">
        <v>214</v>
      </c>
      <c r="F439" t="s">
        <v>215</v>
      </c>
    </row>
    <row r="440" spans="1:6" x14ac:dyDescent="0.25">
      <c r="A440">
        <v>55</v>
      </c>
      <c r="B440" t="s">
        <v>226</v>
      </c>
      <c r="C440">
        <v>221.04</v>
      </c>
      <c r="D440">
        <f t="shared" si="42"/>
        <v>221.04</v>
      </c>
      <c r="E440" t="s">
        <v>214</v>
      </c>
      <c r="F440" t="s">
        <v>215</v>
      </c>
    </row>
    <row r="441" spans="1:6" x14ac:dyDescent="0.25">
      <c r="A441">
        <v>55</v>
      </c>
      <c r="B441" t="s">
        <v>227</v>
      </c>
      <c r="C441">
        <v>5849.72</v>
      </c>
      <c r="D441">
        <v>5092.09</v>
      </c>
      <c r="E441" t="s">
        <v>214</v>
      </c>
      <c r="F441" t="s">
        <v>215</v>
      </c>
    </row>
    <row r="442" spans="1:6" x14ac:dyDescent="0.25">
      <c r="A442">
        <v>55</v>
      </c>
      <c r="B442" t="s">
        <v>228</v>
      </c>
      <c r="C442">
        <v>179.9</v>
      </c>
      <c r="D442">
        <f t="shared" si="42"/>
        <v>179.9</v>
      </c>
      <c r="E442" t="s">
        <v>214</v>
      </c>
      <c r="F442" t="s">
        <v>215</v>
      </c>
    </row>
    <row r="443" spans="1:6" x14ac:dyDescent="0.25">
      <c r="A443">
        <v>55</v>
      </c>
      <c r="B443" t="s">
        <v>229</v>
      </c>
      <c r="C443">
        <v>62.4</v>
      </c>
      <c r="D443">
        <v>54.32</v>
      </c>
      <c r="E443" t="s">
        <v>214</v>
      </c>
      <c r="F443" t="s">
        <v>215</v>
      </c>
    </row>
    <row r="444" spans="1:6" x14ac:dyDescent="0.25">
      <c r="A444">
        <v>56</v>
      </c>
      <c r="B444" t="s">
        <v>222</v>
      </c>
      <c r="C444">
        <f>19521.42+19521.42</f>
        <v>39042.839999999997</v>
      </c>
      <c r="D444">
        <f>17453.84+17284.16</f>
        <v>34738</v>
      </c>
      <c r="E444" t="s">
        <v>214</v>
      </c>
      <c r="F444" t="s">
        <v>215</v>
      </c>
    </row>
    <row r="445" spans="1:6" x14ac:dyDescent="0.25">
      <c r="A445">
        <v>56</v>
      </c>
      <c r="B445" t="s">
        <v>223</v>
      </c>
      <c r="C445">
        <f>439.8+439.8</f>
        <v>879.6</v>
      </c>
      <c r="D445">
        <f t="shared" ref="D445:D450" si="43">+C445</f>
        <v>879.6</v>
      </c>
      <c r="E445" t="s">
        <v>214</v>
      </c>
      <c r="F445" t="s">
        <v>215</v>
      </c>
    </row>
    <row r="446" spans="1:6" x14ac:dyDescent="0.25">
      <c r="A446">
        <v>56</v>
      </c>
      <c r="B446" t="s">
        <v>224</v>
      </c>
      <c r="C446">
        <f>326.1+326.1</f>
        <v>652.20000000000005</v>
      </c>
      <c r="D446">
        <f t="shared" si="43"/>
        <v>652.20000000000005</v>
      </c>
      <c r="E446" t="s">
        <v>214</v>
      </c>
      <c r="F446" t="s">
        <v>215</v>
      </c>
    </row>
    <row r="447" spans="1:6" x14ac:dyDescent="0.25">
      <c r="A447">
        <v>56</v>
      </c>
      <c r="B447" t="s">
        <v>225</v>
      </c>
      <c r="C447">
        <f>2662.8+2662.8</f>
        <v>5325.6</v>
      </c>
      <c r="D447">
        <f t="shared" si="43"/>
        <v>5325.6</v>
      </c>
      <c r="E447" t="s">
        <v>214</v>
      </c>
      <c r="F447" t="s">
        <v>215</v>
      </c>
    </row>
    <row r="448" spans="1:6" x14ac:dyDescent="0.25">
      <c r="A448">
        <v>56</v>
      </c>
      <c r="B448" t="s">
        <v>226</v>
      </c>
      <c r="C448">
        <f>663.12+663.12</f>
        <v>1326.24</v>
      </c>
      <c r="D448">
        <f t="shared" si="43"/>
        <v>1326.24</v>
      </c>
      <c r="E448" t="s">
        <v>214</v>
      </c>
      <c r="F448" t="s">
        <v>215</v>
      </c>
    </row>
    <row r="449" spans="1:6" x14ac:dyDescent="0.25">
      <c r="A449">
        <v>56</v>
      </c>
      <c r="B449" t="s">
        <v>227</v>
      </c>
      <c r="C449">
        <f>5659.86+5659.86</f>
        <v>11319.72</v>
      </c>
      <c r="D449">
        <f>5060.41+5011.21</f>
        <v>10071.619999999999</v>
      </c>
      <c r="E449" t="s">
        <v>214</v>
      </c>
      <c r="F449" t="s">
        <v>215</v>
      </c>
    </row>
    <row r="450" spans="1:6" x14ac:dyDescent="0.25">
      <c r="A450">
        <v>56</v>
      </c>
      <c r="B450" t="s">
        <v>228</v>
      </c>
      <c r="C450">
        <f>539.7+539.7</f>
        <v>1079.4000000000001</v>
      </c>
      <c r="D450">
        <f t="shared" si="43"/>
        <v>1079.4000000000001</v>
      </c>
      <c r="E450" t="s">
        <v>214</v>
      </c>
      <c r="F450" t="s">
        <v>215</v>
      </c>
    </row>
    <row r="451" spans="1:6" x14ac:dyDescent="0.25">
      <c r="A451">
        <v>56</v>
      </c>
      <c r="B451" t="s">
        <v>229</v>
      </c>
      <c r="C451">
        <f>187.2+187.2</f>
        <v>374.4</v>
      </c>
      <c r="D451">
        <f>167.37+165.75</f>
        <v>333.12</v>
      </c>
      <c r="E451" t="s">
        <v>214</v>
      </c>
      <c r="F451" t="s">
        <v>215</v>
      </c>
    </row>
    <row r="452" spans="1:6" x14ac:dyDescent="0.25">
      <c r="A452">
        <v>57</v>
      </c>
      <c r="B452" t="s">
        <v>222</v>
      </c>
      <c r="C452">
        <f>22632.12+22632.12</f>
        <v>45264.24</v>
      </c>
      <c r="D452">
        <f>19921.29+19699.21</f>
        <v>39620.5</v>
      </c>
      <c r="E452" t="s">
        <v>214</v>
      </c>
      <c r="F452" t="s">
        <v>215</v>
      </c>
    </row>
    <row r="453" spans="1:6" x14ac:dyDescent="0.25">
      <c r="A453">
        <v>57</v>
      </c>
      <c r="B453" t="s">
        <v>223</v>
      </c>
      <c r="C453">
        <f>439.8+439.8</f>
        <v>879.6</v>
      </c>
      <c r="D453">
        <f t="shared" ref="D453:D458" si="44">+C453</f>
        <v>879.6</v>
      </c>
      <c r="E453" t="s">
        <v>214</v>
      </c>
      <c r="F453" t="s">
        <v>215</v>
      </c>
    </row>
    <row r="454" spans="1:6" x14ac:dyDescent="0.25">
      <c r="A454">
        <v>57</v>
      </c>
      <c r="B454" t="s">
        <v>224</v>
      </c>
      <c r="C454">
        <f>326.1+326.1</f>
        <v>652.20000000000005</v>
      </c>
      <c r="D454">
        <f t="shared" si="44"/>
        <v>652.20000000000005</v>
      </c>
      <c r="E454" t="s">
        <v>214</v>
      </c>
      <c r="F454" t="s">
        <v>215</v>
      </c>
    </row>
    <row r="455" spans="1:6" x14ac:dyDescent="0.25">
      <c r="A455">
        <v>57</v>
      </c>
      <c r="B455" t="s">
        <v>225</v>
      </c>
      <c r="C455">
        <f>2662.8+2662.8</f>
        <v>5325.6</v>
      </c>
      <c r="D455">
        <f t="shared" si="44"/>
        <v>5325.6</v>
      </c>
      <c r="E455" t="s">
        <v>214</v>
      </c>
      <c r="F455" t="s">
        <v>215</v>
      </c>
    </row>
    <row r="456" spans="1:6" x14ac:dyDescent="0.25">
      <c r="A456">
        <v>57</v>
      </c>
      <c r="B456" t="s">
        <v>226</v>
      </c>
      <c r="C456">
        <f>663.12+663.12</f>
        <v>1326.24</v>
      </c>
      <c r="D456">
        <f t="shared" si="44"/>
        <v>1326.24</v>
      </c>
      <c r="E456" t="s">
        <v>214</v>
      </c>
      <c r="F456" t="s">
        <v>215</v>
      </c>
    </row>
    <row r="457" spans="1:6" x14ac:dyDescent="0.25">
      <c r="A457">
        <v>57</v>
      </c>
      <c r="B457" t="s">
        <v>227</v>
      </c>
      <c r="C457">
        <f>8549.16+8549.16</f>
        <v>17098.32</v>
      </c>
      <c r="D457">
        <f>7525.16+7441.27</f>
        <v>14966.43</v>
      </c>
      <c r="E457" t="s">
        <v>214</v>
      </c>
      <c r="F457" t="s">
        <v>215</v>
      </c>
    </row>
    <row r="458" spans="1:6" x14ac:dyDescent="0.25">
      <c r="A458">
        <v>57</v>
      </c>
      <c r="B458" t="s">
        <v>228</v>
      </c>
      <c r="C458">
        <f>539.7+539.7</f>
        <v>1079.4000000000001</v>
      </c>
      <c r="D458">
        <f t="shared" si="44"/>
        <v>1079.4000000000001</v>
      </c>
      <c r="E458" t="s">
        <v>214</v>
      </c>
      <c r="F458" t="s">
        <v>215</v>
      </c>
    </row>
    <row r="459" spans="1:6" x14ac:dyDescent="0.25">
      <c r="A459">
        <v>57</v>
      </c>
      <c r="B459" t="s">
        <v>229</v>
      </c>
      <c r="C459">
        <f>187.2+187.2</f>
        <v>374.4</v>
      </c>
      <c r="D459">
        <f>164.78+162.94</f>
        <v>327.72</v>
      </c>
      <c r="E459" t="s">
        <v>214</v>
      </c>
      <c r="F459" t="s">
        <v>215</v>
      </c>
    </row>
    <row r="460" spans="1:6" x14ac:dyDescent="0.25">
      <c r="A460">
        <v>58</v>
      </c>
      <c r="B460" t="s">
        <v>222</v>
      </c>
      <c r="C460">
        <f>84982+101978.4</f>
        <v>186960.4</v>
      </c>
      <c r="D460">
        <f>66977.75+80233.62</f>
        <v>147211.37</v>
      </c>
      <c r="E460" t="s">
        <v>214</v>
      </c>
      <c r="F460" t="s">
        <v>215</v>
      </c>
    </row>
    <row r="461" spans="1:6" x14ac:dyDescent="0.25">
      <c r="A461">
        <v>58</v>
      </c>
      <c r="B461" t="s">
        <v>223</v>
      </c>
      <c r="C461">
        <v>0</v>
      </c>
      <c r="D461">
        <v>0</v>
      </c>
      <c r="E461" t="s">
        <v>214</v>
      </c>
      <c r="F461" t="s">
        <v>215</v>
      </c>
    </row>
    <row r="462" spans="1:6" x14ac:dyDescent="0.25">
      <c r="A462">
        <v>58</v>
      </c>
      <c r="B462" t="s">
        <v>224</v>
      </c>
      <c r="C462">
        <v>0</v>
      </c>
      <c r="D462">
        <v>0</v>
      </c>
      <c r="E462" t="s">
        <v>214</v>
      </c>
      <c r="F462" t="s">
        <v>215</v>
      </c>
    </row>
    <row r="463" spans="1:6" x14ac:dyDescent="0.25">
      <c r="A463">
        <v>58</v>
      </c>
      <c r="B463" t="s">
        <v>225</v>
      </c>
      <c r="C463">
        <v>0</v>
      </c>
      <c r="D463">
        <v>0</v>
      </c>
      <c r="E463" t="s">
        <v>214</v>
      </c>
      <c r="F463" t="s">
        <v>215</v>
      </c>
    </row>
    <row r="464" spans="1:6" x14ac:dyDescent="0.25">
      <c r="A464">
        <v>58</v>
      </c>
      <c r="B464" t="s">
        <v>226</v>
      </c>
      <c r="C464">
        <v>0</v>
      </c>
      <c r="D464">
        <v>0</v>
      </c>
      <c r="E464" t="s">
        <v>214</v>
      </c>
      <c r="F464" t="s">
        <v>215</v>
      </c>
    </row>
    <row r="465" spans="1:6" x14ac:dyDescent="0.25">
      <c r="A465">
        <v>58</v>
      </c>
      <c r="B465" t="s">
        <v>227</v>
      </c>
      <c r="C465">
        <v>0</v>
      </c>
      <c r="D465">
        <v>0</v>
      </c>
      <c r="E465" t="s">
        <v>214</v>
      </c>
      <c r="F465" t="s">
        <v>215</v>
      </c>
    </row>
    <row r="466" spans="1:6" x14ac:dyDescent="0.25">
      <c r="A466">
        <v>58</v>
      </c>
      <c r="B466" t="s">
        <v>228</v>
      </c>
      <c r="C466">
        <v>0</v>
      </c>
      <c r="D466">
        <v>0</v>
      </c>
      <c r="E466" t="s">
        <v>214</v>
      </c>
      <c r="F466" t="s">
        <v>215</v>
      </c>
    </row>
    <row r="467" spans="1:6" x14ac:dyDescent="0.25">
      <c r="A467">
        <v>58</v>
      </c>
      <c r="B467" t="s">
        <v>229</v>
      </c>
      <c r="C467">
        <v>0</v>
      </c>
      <c r="D467">
        <v>0</v>
      </c>
      <c r="E467" t="s">
        <v>214</v>
      </c>
      <c r="F467" t="s">
        <v>215</v>
      </c>
    </row>
    <row r="468" spans="1:6" x14ac:dyDescent="0.25">
      <c r="A468">
        <v>59</v>
      </c>
      <c r="B468" t="s">
        <v>222</v>
      </c>
      <c r="C468">
        <f>3253.57+19521.42</f>
        <v>22774.989999999998</v>
      </c>
      <c r="D468">
        <f>2735.07+18149.3</f>
        <v>20884.37</v>
      </c>
      <c r="E468" t="s">
        <v>214</v>
      </c>
      <c r="F468" t="s">
        <v>215</v>
      </c>
    </row>
    <row r="469" spans="1:6" x14ac:dyDescent="0.25">
      <c r="A469">
        <v>59</v>
      </c>
      <c r="B469" t="s">
        <v>223</v>
      </c>
      <c r="C469">
        <f>73.3+439.8</f>
        <v>513.1</v>
      </c>
      <c r="D469">
        <f>+C469</f>
        <v>513.1</v>
      </c>
      <c r="E469" t="s">
        <v>214</v>
      </c>
      <c r="F469" t="s">
        <v>215</v>
      </c>
    </row>
    <row r="470" spans="1:6" x14ac:dyDescent="0.25">
      <c r="A470">
        <v>59</v>
      </c>
      <c r="B470" t="s">
        <v>224</v>
      </c>
      <c r="C470">
        <f>54.35+326.1</f>
        <v>380.45000000000005</v>
      </c>
      <c r="D470">
        <f>+C470</f>
        <v>380.45000000000005</v>
      </c>
      <c r="E470" t="s">
        <v>214</v>
      </c>
      <c r="F470" t="s">
        <v>215</v>
      </c>
    </row>
    <row r="471" spans="1:6" x14ac:dyDescent="0.25">
      <c r="A471">
        <v>59</v>
      </c>
      <c r="B471" t="s">
        <v>225</v>
      </c>
      <c r="C471">
        <f>443.8+2662.8</f>
        <v>3106.6000000000004</v>
      </c>
      <c r="D471">
        <f>+C471</f>
        <v>3106.6000000000004</v>
      </c>
      <c r="E471" t="s">
        <v>214</v>
      </c>
      <c r="F471" t="s">
        <v>215</v>
      </c>
    </row>
    <row r="472" spans="1:6" x14ac:dyDescent="0.25">
      <c r="A472">
        <v>59</v>
      </c>
      <c r="B472" t="s">
        <v>226</v>
      </c>
      <c r="C472">
        <f>110.52+663.12</f>
        <v>773.64</v>
      </c>
      <c r="D472">
        <f>+C472</f>
        <v>773.64</v>
      </c>
      <c r="E472" t="s">
        <v>214</v>
      </c>
      <c r="F472" t="s">
        <v>215</v>
      </c>
    </row>
    <row r="473" spans="1:6" x14ac:dyDescent="0.25">
      <c r="A473">
        <v>59</v>
      </c>
      <c r="B473" t="s">
        <v>227</v>
      </c>
      <c r="C473">
        <v>4056.69</v>
      </c>
      <c r="D473">
        <v>3410.2</v>
      </c>
      <c r="E473" t="s">
        <v>214</v>
      </c>
      <c r="F473" t="s">
        <v>215</v>
      </c>
    </row>
    <row r="474" spans="1:6" x14ac:dyDescent="0.25">
      <c r="A474">
        <v>59</v>
      </c>
      <c r="B474" t="s">
        <v>228</v>
      </c>
      <c r="C474">
        <f>89.95+539.7</f>
        <v>629.65000000000009</v>
      </c>
      <c r="D474">
        <f>+C474</f>
        <v>629.65000000000009</v>
      </c>
      <c r="E474" t="s">
        <v>214</v>
      </c>
      <c r="F474" t="s">
        <v>215</v>
      </c>
    </row>
    <row r="475" spans="1:6" x14ac:dyDescent="0.25">
      <c r="A475">
        <v>59</v>
      </c>
      <c r="B475" t="s">
        <v>229</v>
      </c>
      <c r="C475">
        <f>31.2+187.2</f>
        <v>218.39999999999998</v>
      </c>
      <c r="D475">
        <f>26.23+174.04</f>
        <v>200.26999999999998</v>
      </c>
      <c r="E475" t="s">
        <v>214</v>
      </c>
      <c r="F475" t="s">
        <v>215</v>
      </c>
    </row>
    <row r="476" spans="1:6" s="11" customFormat="1" x14ac:dyDescent="0.25">
      <c r="A476" s="8">
        <v>60</v>
      </c>
      <c r="B476" s="8" t="s">
        <v>222</v>
      </c>
      <c r="C476" s="8">
        <v>15516.42</v>
      </c>
      <c r="D476" s="14">
        <v>14192.11</v>
      </c>
      <c r="E476" s="8" t="s">
        <v>214</v>
      </c>
      <c r="F476" s="8" t="s">
        <v>215</v>
      </c>
    </row>
    <row r="477" spans="1:6" s="12" customFormat="1" x14ac:dyDescent="0.25">
      <c r="A477" s="8">
        <v>60</v>
      </c>
      <c r="B477" s="8" t="s">
        <v>223</v>
      </c>
      <c r="C477" s="8">
        <v>254.11</v>
      </c>
      <c r="D477" s="8">
        <f>+C477</f>
        <v>254.11</v>
      </c>
      <c r="E477" s="8" t="s">
        <v>214</v>
      </c>
      <c r="F477" s="8" t="s">
        <v>215</v>
      </c>
    </row>
    <row r="478" spans="1:6" s="12" customFormat="1" x14ac:dyDescent="0.25">
      <c r="A478" s="8">
        <v>60</v>
      </c>
      <c r="B478" s="8" t="s">
        <v>224</v>
      </c>
      <c r="C478" s="8">
        <v>188.41</v>
      </c>
      <c r="D478" s="8">
        <f>+C478</f>
        <v>188.41</v>
      </c>
      <c r="E478" s="8" t="s">
        <v>214</v>
      </c>
      <c r="F478" s="8" t="s">
        <v>215</v>
      </c>
    </row>
    <row r="479" spans="1:6" s="12" customFormat="1" x14ac:dyDescent="0.25">
      <c r="A479" s="8">
        <v>60</v>
      </c>
      <c r="B479" s="8" t="s">
        <v>225</v>
      </c>
      <c r="C479" s="8">
        <v>1538.51</v>
      </c>
      <c r="D479" s="8">
        <f>+C479</f>
        <v>1538.51</v>
      </c>
      <c r="E479" s="8" t="s">
        <v>214</v>
      </c>
      <c r="F479" s="8" t="s">
        <v>215</v>
      </c>
    </row>
    <row r="480" spans="1:6" s="12" customFormat="1" x14ac:dyDescent="0.25">
      <c r="A480" s="8">
        <v>60</v>
      </c>
      <c r="B480" s="8" t="s">
        <v>226</v>
      </c>
      <c r="C480" s="8">
        <v>383.14</v>
      </c>
      <c r="D480" s="8">
        <f>+C480</f>
        <v>383.14</v>
      </c>
      <c r="E480" s="8" t="s">
        <v>214</v>
      </c>
      <c r="F480" s="8" t="s">
        <v>215</v>
      </c>
    </row>
    <row r="481" spans="1:6" s="12" customFormat="1" x14ac:dyDescent="0.25">
      <c r="A481" s="8">
        <v>60</v>
      </c>
      <c r="B481" s="8" t="s">
        <v>227</v>
      </c>
      <c r="C481" s="8">
        <v>0</v>
      </c>
      <c r="D481" s="8">
        <v>0</v>
      </c>
      <c r="E481" s="8" t="s">
        <v>214</v>
      </c>
      <c r="F481" s="8" t="s">
        <v>215</v>
      </c>
    </row>
    <row r="482" spans="1:6" s="12" customFormat="1" x14ac:dyDescent="0.25">
      <c r="A482" s="8">
        <v>60</v>
      </c>
      <c r="B482" s="8" t="s">
        <v>228</v>
      </c>
      <c r="C482" s="8">
        <v>311.83</v>
      </c>
      <c r="D482" s="8">
        <f>+C482</f>
        <v>311.83</v>
      </c>
      <c r="E482" s="8" t="s">
        <v>214</v>
      </c>
      <c r="F482" s="8" t="s">
        <v>215</v>
      </c>
    </row>
    <row r="483" spans="1:6" s="12" customFormat="1" x14ac:dyDescent="0.25">
      <c r="A483" s="8">
        <v>60</v>
      </c>
      <c r="B483" s="8" t="s">
        <v>229</v>
      </c>
      <c r="C483" s="8">
        <v>108.16</v>
      </c>
      <c r="D483" s="14">
        <v>98.93</v>
      </c>
      <c r="E483" s="8" t="s">
        <v>214</v>
      </c>
      <c r="F483" s="8" t="s">
        <v>215</v>
      </c>
    </row>
    <row r="484" spans="1:6" s="12" customFormat="1" x14ac:dyDescent="0.25">
      <c r="A484" s="8">
        <v>61</v>
      </c>
      <c r="B484" s="8" t="s">
        <v>222</v>
      </c>
      <c r="C484" s="8">
        <v>19171.599999999999</v>
      </c>
      <c r="D484" s="14">
        <v>16548.89</v>
      </c>
      <c r="E484" s="8" t="s">
        <v>214</v>
      </c>
      <c r="F484" s="8" t="s">
        <v>215</v>
      </c>
    </row>
    <row r="485" spans="1:6" s="12" customFormat="1" x14ac:dyDescent="0.25">
      <c r="A485" s="8">
        <v>61</v>
      </c>
      <c r="B485" s="8" t="s">
        <v>223</v>
      </c>
      <c r="C485" s="8">
        <v>366.5</v>
      </c>
      <c r="D485" s="8">
        <f>+C485</f>
        <v>366.5</v>
      </c>
      <c r="E485" s="8" t="s">
        <v>214</v>
      </c>
      <c r="F485" s="8" t="s">
        <v>215</v>
      </c>
    </row>
    <row r="486" spans="1:6" s="12" customFormat="1" x14ac:dyDescent="0.25">
      <c r="A486" s="8">
        <v>61</v>
      </c>
      <c r="B486" s="8" t="s">
        <v>224</v>
      </c>
      <c r="C486" s="8">
        <v>271.75</v>
      </c>
      <c r="D486" s="8">
        <f>+C486</f>
        <v>271.75</v>
      </c>
      <c r="E486" s="8" t="s">
        <v>214</v>
      </c>
      <c r="F486" s="8" t="s">
        <v>215</v>
      </c>
    </row>
    <row r="487" spans="1:6" s="12" customFormat="1" x14ac:dyDescent="0.25">
      <c r="A487" s="8">
        <v>61</v>
      </c>
      <c r="B487" s="8" t="s">
        <v>225</v>
      </c>
      <c r="C487" s="8">
        <v>2219</v>
      </c>
      <c r="D487" s="8">
        <f>+C487</f>
        <v>2219</v>
      </c>
      <c r="E487" s="8" t="s">
        <v>214</v>
      </c>
      <c r="F487" s="8" t="s">
        <v>215</v>
      </c>
    </row>
    <row r="488" spans="1:6" s="12" customFormat="1" x14ac:dyDescent="0.25">
      <c r="A488" s="8">
        <v>61</v>
      </c>
      <c r="B488" s="8" t="s">
        <v>226</v>
      </c>
      <c r="C488" s="8">
        <v>552.6</v>
      </c>
      <c r="D488" s="8">
        <f>+C488</f>
        <v>552.6</v>
      </c>
      <c r="E488" s="8" t="s">
        <v>214</v>
      </c>
      <c r="F488" s="8" t="s">
        <v>215</v>
      </c>
    </row>
    <row r="489" spans="1:6" s="12" customFormat="1" x14ac:dyDescent="0.25">
      <c r="A489" s="8">
        <v>61</v>
      </c>
      <c r="B489" s="8" t="s">
        <v>227</v>
      </c>
      <c r="C489" s="8">
        <v>0</v>
      </c>
      <c r="D489" s="8">
        <v>0</v>
      </c>
      <c r="E489" s="8" t="s">
        <v>214</v>
      </c>
      <c r="F489" s="8" t="s">
        <v>215</v>
      </c>
    </row>
    <row r="490" spans="1:6" s="12" customFormat="1" x14ac:dyDescent="0.25">
      <c r="A490" s="8">
        <v>61</v>
      </c>
      <c r="B490" s="8" t="s">
        <v>228</v>
      </c>
      <c r="C490" s="8">
        <v>449.75</v>
      </c>
      <c r="D490" s="8">
        <f>+C490</f>
        <v>449.75</v>
      </c>
      <c r="E490" s="8" t="s">
        <v>214</v>
      </c>
      <c r="F490" s="8" t="s">
        <v>215</v>
      </c>
    </row>
    <row r="491" spans="1:6" s="11" customFormat="1" x14ac:dyDescent="0.25">
      <c r="A491" s="8">
        <v>61</v>
      </c>
      <c r="B491" s="8" t="s">
        <v>229</v>
      </c>
      <c r="C491" s="8">
        <v>3904.85</v>
      </c>
      <c r="D491" s="14">
        <v>3370.66</v>
      </c>
      <c r="E491" s="8" t="s">
        <v>214</v>
      </c>
      <c r="F491" s="8" t="s">
        <v>215</v>
      </c>
    </row>
    <row r="492" spans="1:6" s="11" customFormat="1" x14ac:dyDescent="0.25">
      <c r="A492" s="8">
        <v>62</v>
      </c>
      <c r="B492" s="8" t="s">
        <v>222</v>
      </c>
      <c r="C492" s="8">
        <v>14966.44</v>
      </c>
      <c r="D492" s="14">
        <v>14107.22</v>
      </c>
      <c r="E492" s="8" t="s">
        <v>214</v>
      </c>
      <c r="F492" s="8" t="s">
        <v>215</v>
      </c>
    </row>
    <row r="493" spans="1:6" s="11" customFormat="1" x14ac:dyDescent="0.25">
      <c r="A493" s="8">
        <v>62</v>
      </c>
      <c r="B493" s="8" t="s">
        <v>223</v>
      </c>
      <c r="C493" s="8">
        <v>337.17</v>
      </c>
      <c r="D493" s="8">
        <f>+C493</f>
        <v>337.17</v>
      </c>
      <c r="E493" s="8" t="s">
        <v>214</v>
      </c>
      <c r="F493" s="8" t="s">
        <v>215</v>
      </c>
    </row>
    <row r="494" spans="1:6" s="11" customFormat="1" x14ac:dyDescent="0.25">
      <c r="A494" s="8">
        <v>62</v>
      </c>
      <c r="B494" s="8" t="s">
        <v>224</v>
      </c>
      <c r="C494" s="8">
        <v>250.02</v>
      </c>
      <c r="D494" s="8">
        <f>+C494</f>
        <v>250.02</v>
      </c>
      <c r="E494" s="8" t="s">
        <v>214</v>
      </c>
      <c r="F494" s="8" t="s">
        <v>215</v>
      </c>
    </row>
    <row r="495" spans="1:6" s="11" customFormat="1" x14ac:dyDescent="0.25">
      <c r="A495" s="8">
        <v>62</v>
      </c>
      <c r="B495" s="8" t="s">
        <v>225</v>
      </c>
      <c r="C495" s="8">
        <v>2041.47</v>
      </c>
      <c r="D495" s="8">
        <f>+C495</f>
        <v>2041.47</v>
      </c>
      <c r="E495" s="8" t="s">
        <v>214</v>
      </c>
      <c r="F495" s="8" t="s">
        <v>215</v>
      </c>
    </row>
    <row r="496" spans="1:6" s="11" customFormat="1" x14ac:dyDescent="0.25">
      <c r="A496" s="8">
        <v>62</v>
      </c>
      <c r="B496" s="8" t="s">
        <v>226</v>
      </c>
      <c r="C496" s="8">
        <v>508.39</v>
      </c>
      <c r="D496" s="8">
        <f>+C496</f>
        <v>508.39</v>
      </c>
      <c r="E496" s="8" t="s">
        <v>214</v>
      </c>
      <c r="F496" s="8" t="s">
        <v>215</v>
      </c>
    </row>
    <row r="497" spans="1:6" s="11" customFormat="1" x14ac:dyDescent="0.25">
      <c r="A497" s="8">
        <v>62</v>
      </c>
      <c r="B497" s="8" t="s">
        <v>227</v>
      </c>
      <c r="C497" s="8">
        <v>0</v>
      </c>
      <c r="D497" s="8">
        <v>0</v>
      </c>
      <c r="E497" s="8" t="s">
        <v>214</v>
      </c>
      <c r="F497" s="8" t="s">
        <v>215</v>
      </c>
    </row>
    <row r="498" spans="1:6" s="11" customFormat="1" x14ac:dyDescent="0.25">
      <c r="A498" s="8">
        <v>62</v>
      </c>
      <c r="B498" s="8" t="s">
        <v>228</v>
      </c>
      <c r="C498" s="8">
        <v>413.76</v>
      </c>
      <c r="D498" s="8">
        <f>+C498</f>
        <v>413.76</v>
      </c>
      <c r="E498" s="8" t="s">
        <v>214</v>
      </c>
      <c r="F498" s="8" t="s">
        <v>215</v>
      </c>
    </row>
    <row r="499" spans="1:6" s="11" customFormat="1" x14ac:dyDescent="0.25">
      <c r="A499" s="8">
        <v>62</v>
      </c>
      <c r="B499" s="8" t="s">
        <v>229</v>
      </c>
      <c r="C499" s="8">
        <v>143.52000000000001</v>
      </c>
      <c r="D499" s="14">
        <v>135.28</v>
      </c>
      <c r="E499" s="8" t="s">
        <v>214</v>
      </c>
      <c r="F499" s="8" t="s">
        <v>215</v>
      </c>
    </row>
    <row r="500" spans="1:6" s="11" customFormat="1" x14ac:dyDescent="0.25">
      <c r="A500" s="8">
        <v>63</v>
      </c>
      <c r="B500" s="8" t="s">
        <v>222</v>
      </c>
      <c r="C500" s="8">
        <v>13014.28</v>
      </c>
      <c r="D500" s="14">
        <v>11332.23</v>
      </c>
      <c r="E500" s="8" t="s">
        <v>214</v>
      </c>
      <c r="F500" s="8" t="s">
        <v>215</v>
      </c>
    </row>
    <row r="501" spans="1:6" s="11" customFormat="1" x14ac:dyDescent="0.25">
      <c r="A501" s="8">
        <v>63</v>
      </c>
      <c r="B501" s="8" t="s">
        <v>223</v>
      </c>
      <c r="C501" s="8">
        <v>293.2</v>
      </c>
      <c r="D501" s="8">
        <f>+C501</f>
        <v>293.2</v>
      </c>
      <c r="E501" s="8" t="s">
        <v>214</v>
      </c>
      <c r="F501" s="8" t="s">
        <v>215</v>
      </c>
    </row>
    <row r="502" spans="1:6" s="11" customFormat="1" x14ac:dyDescent="0.25">
      <c r="A502" s="8">
        <v>63</v>
      </c>
      <c r="B502" s="8" t="s">
        <v>224</v>
      </c>
      <c r="C502" s="8">
        <v>217.4</v>
      </c>
      <c r="D502" s="8">
        <f>+C502</f>
        <v>217.4</v>
      </c>
      <c r="E502" s="8" t="s">
        <v>214</v>
      </c>
      <c r="F502" s="8" t="s">
        <v>215</v>
      </c>
    </row>
    <row r="503" spans="1:6" s="11" customFormat="1" x14ac:dyDescent="0.25">
      <c r="A503" s="8">
        <v>63</v>
      </c>
      <c r="B503" s="8" t="s">
        <v>225</v>
      </c>
      <c r="C503" s="8">
        <v>1775.2</v>
      </c>
      <c r="D503" s="8">
        <f>+C503</f>
        <v>1775.2</v>
      </c>
      <c r="E503" s="8" t="s">
        <v>214</v>
      </c>
      <c r="F503" s="8" t="s">
        <v>215</v>
      </c>
    </row>
    <row r="504" spans="1:6" s="11" customFormat="1" x14ac:dyDescent="0.25">
      <c r="A504" s="8">
        <v>63</v>
      </c>
      <c r="B504" s="8" t="s">
        <v>226</v>
      </c>
      <c r="C504" s="8">
        <v>442.08</v>
      </c>
      <c r="D504" s="8">
        <f>+C504</f>
        <v>442.08</v>
      </c>
      <c r="E504" s="8" t="s">
        <v>214</v>
      </c>
      <c r="F504" s="8" t="s">
        <v>215</v>
      </c>
    </row>
    <row r="505" spans="1:6" s="11" customFormat="1" x14ac:dyDescent="0.25">
      <c r="A505" s="8">
        <v>63</v>
      </c>
      <c r="B505" s="8" t="s">
        <v>227</v>
      </c>
      <c r="C505" s="8">
        <v>7773.24</v>
      </c>
      <c r="D505" s="8">
        <v>6768.58</v>
      </c>
      <c r="E505" s="8" t="s">
        <v>214</v>
      </c>
      <c r="F505" s="8" t="s">
        <v>215</v>
      </c>
    </row>
    <row r="506" spans="1:6" s="11" customFormat="1" x14ac:dyDescent="0.25">
      <c r="A506" s="8">
        <v>63</v>
      </c>
      <c r="B506" s="8" t="s">
        <v>228</v>
      </c>
      <c r="C506" s="8">
        <v>359.8</v>
      </c>
      <c r="D506" s="8">
        <f>+C506</f>
        <v>359.8</v>
      </c>
      <c r="E506" s="8" t="s">
        <v>214</v>
      </c>
      <c r="F506" s="8" t="s">
        <v>215</v>
      </c>
    </row>
    <row r="507" spans="1:6" s="11" customFormat="1" x14ac:dyDescent="0.25">
      <c r="A507" s="8">
        <v>63</v>
      </c>
      <c r="B507" s="8" t="s">
        <v>229</v>
      </c>
      <c r="C507" s="8">
        <v>124.8</v>
      </c>
      <c r="D507" s="14">
        <v>108.67</v>
      </c>
      <c r="E507" s="8" t="s">
        <v>214</v>
      </c>
      <c r="F507" s="8" t="s">
        <v>215</v>
      </c>
    </row>
    <row r="508" spans="1:6" s="11" customFormat="1" x14ac:dyDescent="0.25">
      <c r="A508" s="8">
        <v>64</v>
      </c>
      <c r="B508" s="8" t="s">
        <v>222</v>
      </c>
      <c r="C508" s="8">
        <v>87914.4</v>
      </c>
      <c r="D508" s="14">
        <v>67304</v>
      </c>
      <c r="E508" s="8" t="s">
        <v>214</v>
      </c>
      <c r="F508" s="8" t="s">
        <v>215</v>
      </c>
    </row>
    <row r="509" spans="1:6" s="11" customFormat="1" x14ac:dyDescent="0.25">
      <c r="A509" s="8">
        <v>64</v>
      </c>
      <c r="B509" s="8" t="s">
        <v>223</v>
      </c>
      <c r="C509" s="8">
        <v>0</v>
      </c>
      <c r="D509" s="8">
        <v>0</v>
      </c>
      <c r="E509" s="8" t="s">
        <v>214</v>
      </c>
      <c r="F509" s="8" t="s">
        <v>215</v>
      </c>
    </row>
    <row r="510" spans="1:6" s="11" customFormat="1" x14ac:dyDescent="0.25">
      <c r="A510" s="8">
        <v>64</v>
      </c>
      <c r="B510" s="8" t="s">
        <v>224</v>
      </c>
      <c r="C510" s="8">
        <v>0</v>
      </c>
      <c r="D510" s="8">
        <v>0</v>
      </c>
      <c r="E510" s="8" t="s">
        <v>214</v>
      </c>
      <c r="F510" s="8" t="s">
        <v>215</v>
      </c>
    </row>
    <row r="511" spans="1:6" s="11" customFormat="1" x14ac:dyDescent="0.25">
      <c r="A511" s="8">
        <v>64</v>
      </c>
      <c r="B511" s="8" t="s">
        <v>225</v>
      </c>
      <c r="C511" s="8">
        <v>0</v>
      </c>
      <c r="D511" s="8">
        <v>0</v>
      </c>
      <c r="E511" s="8" t="s">
        <v>214</v>
      </c>
      <c r="F511" s="8" t="s">
        <v>215</v>
      </c>
    </row>
    <row r="512" spans="1:6" s="11" customFormat="1" x14ac:dyDescent="0.25">
      <c r="A512" s="8">
        <v>64</v>
      </c>
      <c r="B512" s="8" t="s">
        <v>226</v>
      </c>
      <c r="C512" s="8">
        <v>0</v>
      </c>
      <c r="D512" s="8">
        <v>0</v>
      </c>
      <c r="E512" s="8" t="s">
        <v>214</v>
      </c>
      <c r="F512" s="8" t="s">
        <v>215</v>
      </c>
    </row>
    <row r="513" spans="1:6" s="11" customFormat="1" x14ac:dyDescent="0.25">
      <c r="A513" s="8">
        <v>64</v>
      </c>
      <c r="B513" s="8" t="s">
        <v>227</v>
      </c>
      <c r="C513" s="8">
        <v>0</v>
      </c>
      <c r="D513" s="8">
        <v>0</v>
      </c>
      <c r="E513" s="8" t="s">
        <v>214</v>
      </c>
      <c r="F513" s="8" t="s">
        <v>215</v>
      </c>
    </row>
    <row r="514" spans="1:6" s="11" customFormat="1" x14ac:dyDescent="0.25">
      <c r="A514" s="8">
        <v>64</v>
      </c>
      <c r="B514" s="8" t="s">
        <v>228</v>
      </c>
      <c r="C514" s="8">
        <v>0</v>
      </c>
      <c r="D514" s="8">
        <v>0</v>
      </c>
      <c r="E514" s="8" t="s">
        <v>214</v>
      </c>
      <c r="F514" s="8" t="s">
        <v>215</v>
      </c>
    </row>
    <row r="515" spans="1:6" s="11" customFormat="1" x14ac:dyDescent="0.25">
      <c r="A515" s="8">
        <v>64</v>
      </c>
      <c r="B515" s="8" t="s">
        <v>229</v>
      </c>
      <c r="C515" s="8">
        <v>0</v>
      </c>
      <c r="D515" s="8">
        <v>0</v>
      </c>
      <c r="E515" s="8" t="s">
        <v>214</v>
      </c>
      <c r="F515" s="8" t="s">
        <v>215</v>
      </c>
    </row>
    <row r="516" spans="1:6" s="11" customFormat="1" x14ac:dyDescent="0.25">
      <c r="A516" s="8">
        <v>65</v>
      </c>
      <c r="B516" s="8" t="s">
        <v>222</v>
      </c>
      <c r="C516" s="8">
        <v>480553.52</v>
      </c>
      <c r="D516" s="14">
        <v>327092.69</v>
      </c>
      <c r="E516" s="8" t="s">
        <v>214</v>
      </c>
      <c r="F516" s="8" t="s">
        <v>215</v>
      </c>
    </row>
    <row r="517" spans="1:6" s="11" customFormat="1" x14ac:dyDescent="0.25">
      <c r="A517" s="8">
        <v>65</v>
      </c>
      <c r="B517" s="8" t="s">
        <v>223</v>
      </c>
      <c r="C517" s="8">
        <v>0</v>
      </c>
      <c r="D517" s="8">
        <v>0</v>
      </c>
      <c r="E517" s="8" t="s">
        <v>214</v>
      </c>
      <c r="F517" s="8" t="s">
        <v>215</v>
      </c>
    </row>
    <row r="518" spans="1:6" s="11" customFormat="1" x14ac:dyDescent="0.25">
      <c r="A518" s="8">
        <v>65</v>
      </c>
      <c r="B518" s="8" t="s">
        <v>224</v>
      </c>
      <c r="C518" s="8">
        <v>0</v>
      </c>
      <c r="D518" s="8">
        <v>0</v>
      </c>
      <c r="E518" s="8" t="s">
        <v>214</v>
      </c>
      <c r="F518" s="8" t="s">
        <v>215</v>
      </c>
    </row>
    <row r="519" spans="1:6" s="11" customFormat="1" x14ac:dyDescent="0.25">
      <c r="A519" s="8">
        <v>65</v>
      </c>
      <c r="B519" s="8" t="s">
        <v>225</v>
      </c>
      <c r="C519" s="8">
        <v>0</v>
      </c>
      <c r="D519" s="8">
        <v>0</v>
      </c>
      <c r="E519" s="8" t="s">
        <v>214</v>
      </c>
      <c r="F519" s="8" t="s">
        <v>215</v>
      </c>
    </row>
    <row r="520" spans="1:6" s="11" customFormat="1" x14ac:dyDescent="0.25">
      <c r="A520" s="8">
        <v>65</v>
      </c>
      <c r="B520" s="8" t="s">
        <v>226</v>
      </c>
      <c r="C520" s="8">
        <v>0</v>
      </c>
      <c r="D520" s="8">
        <v>0</v>
      </c>
      <c r="E520" s="8" t="s">
        <v>214</v>
      </c>
      <c r="F520" s="8" t="s">
        <v>215</v>
      </c>
    </row>
    <row r="521" spans="1:6" s="11" customFormat="1" x14ac:dyDescent="0.25">
      <c r="A521" s="8">
        <v>65</v>
      </c>
      <c r="B521" s="8" t="s">
        <v>227</v>
      </c>
      <c r="C521" s="8">
        <v>0</v>
      </c>
      <c r="D521" s="8">
        <v>0</v>
      </c>
      <c r="E521" s="8" t="s">
        <v>214</v>
      </c>
      <c r="F521" s="8" t="s">
        <v>215</v>
      </c>
    </row>
    <row r="522" spans="1:6" s="11" customFormat="1" x14ac:dyDescent="0.25">
      <c r="A522" s="8">
        <v>65</v>
      </c>
      <c r="B522" s="8" t="s">
        <v>228</v>
      </c>
      <c r="C522" s="8">
        <v>0</v>
      </c>
      <c r="D522" s="8">
        <v>0</v>
      </c>
      <c r="E522" s="8" t="s">
        <v>214</v>
      </c>
      <c r="F522" s="8" t="s">
        <v>215</v>
      </c>
    </row>
    <row r="523" spans="1:6" s="11" customFormat="1" x14ac:dyDescent="0.25">
      <c r="A523" s="8">
        <v>65</v>
      </c>
      <c r="B523" s="8" t="s">
        <v>229</v>
      </c>
      <c r="C523" s="8">
        <v>0</v>
      </c>
      <c r="D523" s="8">
        <v>0</v>
      </c>
      <c r="E523" s="8" t="s">
        <v>214</v>
      </c>
      <c r="F523" s="8" t="s">
        <v>215</v>
      </c>
    </row>
    <row r="524" spans="1:6" s="11" customFormat="1" x14ac:dyDescent="0.25">
      <c r="A524" s="8">
        <v>66</v>
      </c>
      <c r="B524" s="8" t="s">
        <v>222</v>
      </c>
      <c r="C524" s="8">
        <v>6507.14</v>
      </c>
      <c r="D524" s="14">
        <v>6049.77</v>
      </c>
      <c r="E524" s="8" t="s">
        <v>214</v>
      </c>
      <c r="F524" s="8" t="s">
        <v>215</v>
      </c>
    </row>
    <row r="525" spans="1:6" s="11" customFormat="1" x14ac:dyDescent="0.25">
      <c r="A525" s="8">
        <v>66</v>
      </c>
      <c r="B525" s="8" t="s">
        <v>223</v>
      </c>
      <c r="C525" s="8">
        <v>146.6</v>
      </c>
      <c r="D525" s="8">
        <f>+C525</f>
        <v>146.6</v>
      </c>
      <c r="E525" s="8" t="s">
        <v>214</v>
      </c>
      <c r="F525" s="8" t="s">
        <v>215</v>
      </c>
    </row>
    <row r="526" spans="1:6" s="11" customFormat="1" x14ac:dyDescent="0.25">
      <c r="A526" s="8">
        <v>66</v>
      </c>
      <c r="B526" s="8" t="s">
        <v>224</v>
      </c>
      <c r="C526" s="8">
        <v>108.7</v>
      </c>
      <c r="D526" s="8">
        <f>+C526</f>
        <v>108.7</v>
      </c>
      <c r="E526" s="8" t="s">
        <v>214</v>
      </c>
      <c r="F526" s="8" t="s">
        <v>215</v>
      </c>
    </row>
    <row r="527" spans="1:6" s="11" customFormat="1" x14ac:dyDescent="0.25">
      <c r="A527" s="8">
        <v>66</v>
      </c>
      <c r="B527" s="8" t="s">
        <v>225</v>
      </c>
      <c r="C527" s="8">
        <v>887.6</v>
      </c>
      <c r="D527" s="8">
        <f>+C527</f>
        <v>887.6</v>
      </c>
      <c r="E527" s="8" t="s">
        <v>214</v>
      </c>
      <c r="F527" s="8" t="s">
        <v>215</v>
      </c>
    </row>
    <row r="528" spans="1:6" s="11" customFormat="1" x14ac:dyDescent="0.25">
      <c r="A528" s="8">
        <v>66</v>
      </c>
      <c r="B528" s="8" t="s">
        <v>226</v>
      </c>
      <c r="C528" s="8">
        <v>221.04</v>
      </c>
      <c r="D528" s="8">
        <f>+C528</f>
        <v>221.04</v>
      </c>
      <c r="E528" s="8" t="s">
        <v>214</v>
      </c>
      <c r="F528" s="8" t="s">
        <v>215</v>
      </c>
    </row>
    <row r="529" spans="1:6" s="11" customFormat="1" x14ac:dyDescent="0.25">
      <c r="A529" s="8">
        <v>66</v>
      </c>
      <c r="B529" s="8" t="s">
        <v>227</v>
      </c>
      <c r="C529" s="8">
        <v>0</v>
      </c>
      <c r="D529" s="8">
        <v>0</v>
      </c>
      <c r="E529" s="8" t="s">
        <v>214</v>
      </c>
      <c r="F529" s="8" t="s">
        <v>215</v>
      </c>
    </row>
    <row r="530" spans="1:6" s="11" customFormat="1" x14ac:dyDescent="0.25">
      <c r="A530" s="8">
        <v>66</v>
      </c>
      <c r="B530" s="8" t="s">
        <v>228</v>
      </c>
      <c r="C530" s="8">
        <v>179.9</v>
      </c>
      <c r="D530" s="8">
        <f>+C530</f>
        <v>179.9</v>
      </c>
      <c r="E530" s="8" t="s">
        <v>214</v>
      </c>
      <c r="F530" s="8" t="s">
        <v>215</v>
      </c>
    </row>
    <row r="531" spans="1:6" s="11" customFormat="1" x14ac:dyDescent="0.25">
      <c r="A531" s="8">
        <v>66</v>
      </c>
      <c r="B531" s="8" t="s">
        <v>229</v>
      </c>
      <c r="C531" s="8">
        <v>62.4</v>
      </c>
      <c r="D531" s="14">
        <v>58.01</v>
      </c>
      <c r="E531" s="8" t="s">
        <v>214</v>
      </c>
      <c r="F531" s="8" t="s">
        <v>215</v>
      </c>
    </row>
    <row r="532" spans="1:6" s="11" customFormat="1" x14ac:dyDescent="0.25">
      <c r="A532" s="8">
        <v>67</v>
      </c>
      <c r="B532" s="8" t="s">
        <v>222</v>
      </c>
      <c r="C532" s="8">
        <v>3253.57</v>
      </c>
      <c r="D532" s="14">
        <v>3024.88</v>
      </c>
      <c r="E532" s="8" t="s">
        <v>214</v>
      </c>
      <c r="F532" s="8" t="s">
        <v>215</v>
      </c>
    </row>
    <row r="533" spans="1:6" s="11" customFormat="1" x14ac:dyDescent="0.25">
      <c r="A533" s="8">
        <v>67</v>
      </c>
      <c r="B533" s="8" t="s">
        <v>223</v>
      </c>
      <c r="C533" s="8">
        <v>73.3</v>
      </c>
      <c r="D533" s="8">
        <f>+C533</f>
        <v>73.3</v>
      </c>
      <c r="E533" s="8" t="s">
        <v>214</v>
      </c>
      <c r="F533" s="8" t="s">
        <v>215</v>
      </c>
    </row>
    <row r="534" spans="1:6" s="11" customFormat="1" x14ac:dyDescent="0.25">
      <c r="A534" s="8">
        <v>67</v>
      </c>
      <c r="B534" s="8" t="s">
        <v>224</v>
      </c>
      <c r="C534" s="8">
        <v>54.35</v>
      </c>
      <c r="D534" s="8">
        <f>+C534</f>
        <v>54.35</v>
      </c>
      <c r="E534" s="8" t="s">
        <v>214</v>
      </c>
      <c r="F534" s="8" t="s">
        <v>215</v>
      </c>
    </row>
    <row r="535" spans="1:6" s="11" customFormat="1" x14ac:dyDescent="0.25">
      <c r="A535" s="8">
        <v>67</v>
      </c>
      <c r="B535" s="8" t="s">
        <v>225</v>
      </c>
      <c r="C535" s="8">
        <v>443.8</v>
      </c>
      <c r="D535" s="8">
        <f>+C535</f>
        <v>443.8</v>
      </c>
      <c r="E535" s="8" t="s">
        <v>214</v>
      </c>
      <c r="F535" s="8" t="s">
        <v>215</v>
      </c>
    </row>
    <row r="536" spans="1:6" s="11" customFormat="1" x14ac:dyDescent="0.25">
      <c r="A536" s="8">
        <v>67</v>
      </c>
      <c r="B536" s="8" t="s">
        <v>226</v>
      </c>
      <c r="C536" s="8">
        <v>110.44</v>
      </c>
      <c r="D536" s="8">
        <v>110.44</v>
      </c>
      <c r="E536" s="8" t="s">
        <v>214</v>
      </c>
      <c r="F536" s="8" t="s">
        <v>215</v>
      </c>
    </row>
    <row r="537" spans="1:6" s="11" customFormat="1" x14ac:dyDescent="0.25">
      <c r="A537" s="8">
        <v>67</v>
      </c>
      <c r="B537" s="8" t="s">
        <v>227</v>
      </c>
      <c r="C537" s="8">
        <v>0</v>
      </c>
      <c r="D537" s="8">
        <v>0</v>
      </c>
      <c r="E537" s="8" t="s">
        <v>214</v>
      </c>
      <c r="F537" s="8" t="s">
        <v>215</v>
      </c>
    </row>
    <row r="538" spans="1:6" s="11" customFormat="1" x14ac:dyDescent="0.25">
      <c r="A538" s="8">
        <v>67</v>
      </c>
      <c r="B538" s="8" t="s">
        <v>228</v>
      </c>
      <c r="C538" s="8">
        <v>89.95</v>
      </c>
      <c r="D538" s="8">
        <f>+C538</f>
        <v>89.95</v>
      </c>
      <c r="E538" s="8" t="s">
        <v>214</v>
      </c>
      <c r="F538" s="8" t="s">
        <v>215</v>
      </c>
    </row>
    <row r="539" spans="1:6" s="11" customFormat="1" x14ac:dyDescent="0.25">
      <c r="A539" s="8">
        <v>67</v>
      </c>
      <c r="B539" s="8" t="s">
        <v>229</v>
      </c>
      <c r="C539" s="8">
        <v>31.2</v>
      </c>
      <c r="D539" s="14">
        <v>29.01</v>
      </c>
      <c r="E539" s="8" t="s">
        <v>214</v>
      </c>
      <c r="F539" s="8" t="s">
        <v>215</v>
      </c>
    </row>
    <row r="540" spans="1:6" x14ac:dyDescent="0.25">
      <c r="A540" s="5">
        <v>1</v>
      </c>
      <c r="B540" s="5" t="s">
        <v>222</v>
      </c>
      <c r="C540" s="5">
        <f>101978.4+101978.4</f>
        <v>203956.8</v>
      </c>
      <c r="D540" s="5">
        <f>80001.72+80001.72</f>
        <v>160003.44</v>
      </c>
      <c r="E540" s="5" t="s">
        <v>214</v>
      </c>
      <c r="F540" s="5" t="s">
        <v>215</v>
      </c>
    </row>
    <row r="541" spans="1:6" x14ac:dyDescent="0.25">
      <c r="A541" s="5">
        <v>1</v>
      </c>
      <c r="B541" s="5" t="s">
        <v>223</v>
      </c>
      <c r="C541" s="5">
        <v>0</v>
      </c>
      <c r="D541" s="5">
        <v>0</v>
      </c>
      <c r="E541" s="5" t="s">
        <v>214</v>
      </c>
      <c r="F541" s="5" t="s">
        <v>215</v>
      </c>
    </row>
    <row r="542" spans="1:6" x14ac:dyDescent="0.25">
      <c r="A542" s="5">
        <v>1</v>
      </c>
      <c r="B542" s="5" t="s">
        <v>224</v>
      </c>
      <c r="C542" s="5">
        <v>0</v>
      </c>
      <c r="D542" s="5">
        <v>0</v>
      </c>
      <c r="E542" s="5" t="s">
        <v>214</v>
      </c>
      <c r="F542" s="5" t="s">
        <v>215</v>
      </c>
    </row>
    <row r="543" spans="1:6" x14ac:dyDescent="0.25">
      <c r="A543" s="5">
        <v>1</v>
      </c>
      <c r="B543" s="5" t="s">
        <v>225</v>
      </c>
      <c r="C543" s="5">
        <v>0</v>
      </c>
      <c r="D543" s="5">
        <v>0</v>
      </c>
      <c r="E543" s="5" t="s">
        <v>214</v>
      </c>
      <c r="F543" s="5" t="s">
        <v>215</v>
      </c>
    </row>
    <row r="544" spans="1:6" x14ac:dyDescent="0.25">
      <c r="A544" s="5">
        <v>1</v>
      </c>
      <c r="B544" s="5" t="s">
        <v>226</v>
      </c>
      <c r="C544" s="5">
        <v>0</v>
      </c>
      <c r="D544" s="5">
        <v>0</v>
      </c>
      <c r="E544" s="5" t="s">
        <v>214</v>
      </c>
      <c r="F544" s="5" t="s">
        <v>215</v>
      </c>
    </row>
    <row r="545" spans="1:6" x14ac:dyDescent="0.25">
      <c r="A545" s="5">
        <v>1</v>
      </c>
      <c r="B545" s="5" t="s">
        <v>227</v>
      </c>
      <c r="C545" s="5">
        <v>0</v>
      </c>
      <c r="D545" s="5">
        <v>0</v>
      </c>
      <c r="E545" s="5" t="s">
        <v>214</v>
      </c>
      <c r="F545" s="5" t="s">
        <v>215</v>
      </c>
    </row>
    <row r="546" spans="1:6" x14ac:dyDescent="0.25">
      <c r="A546" s="5">
        <v>1</v>
      </c>
      <c r="B546" s="5" t="s">
        <v>228</v>
      </c>
      <c r="C546" s="5">
        <v>0</v>
      </c>
      <c r="D546" s="5">
        <v>0</v>
      </c>
      <c r="E546" s="5" t="s">
        <v>214</v>
      </c>
      <c r="F546" s="5" t="s">
        <v>215</v>
      </c>
    </row>
    <row r="547" spans="1:6" x14ac:dyDescent="0.25">
      <c r="A547" s="5">
        <v>1</v>
      </c>
      <c r="B547" s="5" t="s">
        <v>229</v>
      </c>
      <c r="C547" s="5">
        <v>0</v>
      </c>
      <c r="D547" s="5">
        <v>0</v>
      </c>
      <c r="E547" s="5" t="s">
        <v>214</v>
      </c>
      <c r="F547" s="5" t="s">
        <v>215</v>
      </c>
    </row>
    <row r="548" spans="1:6" s="5" customFormat="1" x14ac:dyDescent="0.25">
      <c r="A548" s="5">
        <v>1</v>
      </c>
      <c r="B548" s="5" t="s">
        <v>461</v>
      </c>
      <c r="C548" s="5">
        <v>0</v>
      </c>
      <c r="D548" s="5">
        <v>0</v>
      </c>
      <c r="E548" s="5" t="s">
        <v>214</v>
      </c>
      <c r="F548" s="5" t="s">
        <v>215</v>
      </c>
    </row>
    <row r="549" spans="1:6" x14ac:dyDescent="0.25">
      <c r="A549" s="5">
        <v>2</v>
      </c>
      <c r="B549" s="5" t="s">
        <v>222</v>
      </c>
      <c r="C549" s="5">
        <f>20641.04+19903.85</f>
        <v>40544.89</v>
      </c>
      <c r="D549" s="5">
        <f>18782.21+18400.13</f>
        <v>37182.339999999997</v>
      </c>
      <c r="E549" s="5" t="s">
        <v>214</v>
      </c>
      <c r="F549" s="5" t="s">
        <v>215</v>
      </c>
    </row>
    <row r="550" spans="1:6" x14ac:dyDescent="0.25">
      <c r="A550" s="5">
        <v>2</v>
      </c>
      <c r="B550" s="5" t="s">
        <v>223</v>
      </c>
      <c r="C550" s="5">
        <f>410.48+395.81</f>
        <v>806.29</v>
      </c>
      <c r="D550" s="5">
        <f>+C550</f>
        <v>806.29</v>
      </c>
      <c r="E550" s="5" t="s">
        <v>214</v>
      </c>
      <c r="F550" s="5" t="s">
        <v>215</v>
      </c>
    </row>
    <row r="551" spans="1:6" x14ac:dyDescent="0.25">
      <c r="A551" s="5">
        <v>2</v>
      </c>
      <c r="B551" s="5" t="s">
        <v>224</v>
      </c>
      <c r="C551" s="5">
        <f>304.36+293.5</f>
        <v>597.86</v>
      </c>
      <c r="D551" s="5">
        <f t="shared" ref="D551:D557" si="45">+C551</f>
        <v>597.86</v>
      </c>
      <c r="E551" s="5" t="s">
        <v>214</v>
      </c>
      <c r="F551" s="5" t="s">
        <v>215</v>
      </c>
    </row>
    <row r="552" spans="1:6" x14ac:dyDescent="0.25">
      <c r="A552" s="5">
        <v>2</v>
      </c>
      <c r="B552" s="5" t="s">
        <v>225</v>
      </c>
      <c r="C552" s="5">
        <f>2485.28+2396.51</f>
        <v>4881.7900000000009</v>
      </c>
      <c r="D552" s="5">
        <f t="shared" si="45"/>
        <v>4881.7900000000009</v>
      </c>
      <c r="E552" s="5" t="s">
        <v>214</v>
      </c>
      <c r="F552" s="5" t="s">
        <v>215</v>
      </c>
    </row>
    <row r="553" spans="1:6" x14ac:dyDescent="0.25">
      <c r="A553" s="5">
        <v>2</v>
      </c>
      <c r="B553" s="5" t="s">
        <v>226</v>
      </c>
      <c r="C553" s="5">
        <f>618.9+596.8</f>
        <v>1215.6999999999998</v>
      </c>
      <c r="D553" s="5">
        <f t="shared" si="45"/>
        <v>1215.6999999999998</v>
      </c>
      <c r="E553" s="5" t="s">
        <v>214</v>
      </c>
      <c r="F553" s="5" t="s">
        <v>215</v>
      </c>
    </row>
    <row r="554" spans="1:6" x14ac:dyDescent="0.25">
      <c r="A554" s="5">
        <v>2</v>
      </c>
      <c r="B554" s="5" t="s">
        <v>227</v>
      </c>
      <c r="C554" s="5">
        <f>2861.48+2793.31</f>
        <v>5654.79</v>
      </c>
      <c r="D554" s="5">
        <f>2603.79+2582.28</f>
        <v>5186.07</v>
      </c>
      <c r="E554" s="5" t="s">
        <v>214</v>
      </c>
      <c r="F554" s="5" t="s">
        <v>215</v>
      </c>
    </row>
    <row r="555" spans="1:6" x14ac:dyDescent="0.25">
      <c r="A555" s="5">
        <v>2</v>
      </c>
      <c r="B555" s="5" t="s">
        <v>228</v>
      </c>
      <c r="C555" s="5">
        <f>503.72+485.72</f>
        <v>989.44</v>
      </c>
      <c r="D555" s="5">
        <f t="shared" si="45"/>
        <v>989.44</v>
      </c>
      <c r="E555" s="5" t="s">
        <v>214</v>
      </c>
      <c r="F555" s="5" t="s">
        <v>215</v>
      </c>
    </row>
    <row r="556" spans="1:6" x14ac:dyDescent="0.25">
      <c r="A556" s="5">
        <v>2</v>
      </c>
      <c r="B556" s="5" t="s">
        <v>229</v>
      </c>
      <c r="C556" s="5">
        <f>174.72+168.48</f>
        <v>343.2</v>
      </c>
      <c r="D556" s="5">
        <f>158.99+155.75</f>
        <v>314.74</v>
      </c>
      <c r="E556" s="5" t="s">
        <v>214</v>
      </c>
      <c r="F556" s="5" t="s">
        <v>215</v>
      </c>
    </row>
    <row r="557" spans="1:6" s="5" customFormat="1" x14ac:dyDescent="0.25">
      <c r="A557" s="5">
        <v>2</v>
      </c>
      <c r="B557" s="5" t="s">
        <v>461</v>
      </c>
      <c r="C557" s="5">
        <v>2240.6799999999998</v>
      </c>
      <c r="D557" s="5">
        <f t="shared" si="45"/>
        <v>2240.6799999999998</v>
      </c>
      <c r="E557" s="5" t="s">
        <v>214</v>
      </c>
      <c r="F557" s="5" t="s">
        <v>215</v>
      </c>
    </row>
    <row r="558" spans="1:6" x14ac:dyDescent="0.25">
      <c r="A558" s="5">
        <v>3</v>
      </c>
      <c r="B558" s="5" t="s">
        <v>222</v>
      </c>
      <c r="C558" s="5">
        <f>20960.95+23005.92</f>
        <v>43966.869999999995</v>
      </c>
      <c r="D558" s="5">
        <f>18704.76+20347.25</f>
        <v>39052.009999999995</v>
      </c>
      <c r="E558" s="5" t="s">
        <v>214</v>
      </c>
      <c r="F558" s="5" t="s">
        <v>215</v>
      </c>
    </row>
    <row r="559" spans="1:6" x14ac:dyDescent="0.25">
      <c r="A559" s="5">
        <v>3</v>
      </c>
      <c r="B559" s="5" t="s">
        <v>223</v>
      </c>
      <c r="C559" s="5">
        <f>400.71+439.8</f>
        <v>840.51</v>
      </c>
      <c r="D559" s="5">
        <f>+C559</f>
        <v>840.51</v>
      </c>
      <c r="E559" s="5" t="s">
        <v>214</v>
      </c>
      <c r="F559" s="5" t="s">
        <v>215</v>
      </c>
    </row>
    <row r="560" spans="1:6" x14ac:dyDescent="0.25">
      <c r="A560" s="5">
        <v>3</v>
      </c>
      <c r="B560" s="5" t="s">
        <v>224</v>
      </c>
      <c r="C560" s="5">
        <f>297.11+326.1</f>
        <v>623.21</v>
      </c>
      <c r="D560" s="5">
        <f t="shared" ref="D560:D566" si="46">+C560</f>
        <v>623.21</v>
      </c>
      <c r="E560" s="5" t="s">
        <v>214</v>
      </c>
      <c r="F560" s="5" t="s">
        <v>215</v>
      </c>
    </row>
    <row r="561" spans="1:6" x14ac:dyDescent="0.25">
      <c r="A561" s="5">
        <v>3</v>
      </c>
      <c r="B561" s="5" t="s">
        <v>225</v>
      </c>
      <c r="C561" s="5">
        <f>2426.11+2662.8</f>
        <v>5088.91</v>
      </c>
      <c r="D561" s="5">
        <f t="shared" si="46"/>
        <v>5088.91</v>
      </c>
      <c r="E561" s="5" t="s">
        <v>214</v>
      </c>
      <c r="F561" s="5" t="s">
        <v>215</v>
      </c>
    </row>
    <row r="562" spans="1:6" x14ac:dyDescent="0.25">
      <c r="A562" s="5">
        <v>3</v>
      </c>
      <c r="B562" s="5" t="s">
        <v>226</v>
      </c>
      <c r="C562" s="5">
        <f>604.18+663.12</f>
        <v>1267.3</v>
      </c>
      <c r="D562" s="5">
        <f t="shared" si="46"/>
        <v>1267.3</v>
      </c>
      <c r="E562" s="5" t="s">
        <v>214</v>
      </c>
      <c r="F562" s="5" t="s">
        <v>215</v>
      </c>
    </row>
    <row r="563" spans="1:6" x14ac:dyDescent="0.25">
      <c r="A563" s="5">
        <v>3</v>
      </c>
      <c r="B563" s="5" t="s">
        <v>227</v>
      </c>
      <c r="C563" s="5">
        <f>3349.92+3676.74</f>
        <v>7026.66</v>
      </c>
      <c r="D563" s="5">
        <f>2989.34+3251.84</f>
        <v>6241.18</v>
      </c>
      <c r="E563" s="5" t="s">
        <v>214</v>
      </c>
      <c r="F563" s="5" t="s">
        <v>215</v>
      </c>
    </row>
    <row r="564" spans="1:6" x14ac:dyDescent="0.25">
      <c r="A564" s="5">
        <v>3</v>
      </c>
      <c r="B564" s="5" t="s">
        <v>228</v>
      </c>
      <c r="C564" s="5">
        <f>491.73+539.7</f>
        <v>1031.43</v>
      </c>
      <c r="D564" s="5">
        <f t="shared" si="46"/>
        <v>1031.43</v>
      </c>
      <c r="E564" s="5" t="s">
        <v>214</v>
      </c>
      <c r="F564" s="5" t="s">
        <v>215</v>
      </c>
    </row>
    <row r="565" spans="1:6" x14ac:dyDescent="0.25">
      <c r="A565" s="5">
        <v>3</v>
      </c>
      <c r="B565" s="5" t="s">
        <v>229</v>
      </c>
      <c r="C565" s="5">
        <f>4269.3+4685.82</f>
        <v>8955.119999999999</v>
      </c>
      <c r="D565" s="5">
        <f>3809.76+4144.31</f>
        <v>7954.0700000000006</v>
      </c>
      <c r="E565" s="5" t="s">
        <v>214</v>
      </c>
      <c r="F565" s="5" t="s">
        <v>215</v>
      </c>
    </row>
    <row r="566" spans="1:6" s="5" customFormat="1" x14ac:dyDescent="0.25">
      <c r="A566" s="5">
        <v>3</v>
      </c>
      <c r="B566" s="5" t="s">
        <v>461</v>
      </c>
      <c r="C566" s="5">
        <v>1934.4</v>
      </c>
      <c r="D566" s="5">
        <f t="shared" si="46"/>
        <v>1934.4</v>
      </c>
      <c r="E566" s="5" t="s">
        <v>214</v>
      </c>
      <c r="F566" s="5" t="s">
        <v>215</v>
      </c>
    </row>
    <row r="567" spans="1:6" x14ac:dyDescent="0.25">
      <c r="A567" s="5">
        <v>4</v>
      </c>
      <c r="B567" s="5" t="s">
        <v>222</v>
      </c>
      <c r="C567" s="5">
        <f>22115.4+22115.4</f>
        <v>44230.8</v>
      </c>
      <c r="D567" s="5">
        <f>19728.49+19759.28</f>
        <v>39487.770000000004</v>
      </c>
      <c r="E567" s="5" t="s">
        <v>214</v>
      </c>
      <c r="F567" s="5" t="s">
        <v>215</v>
      </c>
    </row>
    <row r="568" spans="1:6" x14ac:dyDescent="0.25">
      <c r="A568" s="5">
        <v>4</v>
      </c>
      <c r="B568" s="5" t="s">
        <v>223</v>
      </c>
      <c r="C568" s="5">
        <f>439.8+439.8</f>
        <v>879.6</v>
      </c>
      <c r="D568" s="5">
        <f>+C568</f>
        <v>879.6</v>
      </c>
      <c r="E568" s="5" t="s">
        <v>214</v>
      </c>
      <c r="F568" s="5" t="s">
        <v>215</v>
      </c>
    </row>
    <row r="569" spans="1:6" x14ac:dyDescent="0.25">
      <c r="A569" s="5">
        <v>4</v>
      </c>
      <c r="B569" s="5" t="s">
        <v>224</v>
      </c>
      <c r="C569" s="5">
        <f>326.1+326.1</f>
        <v>652.20000000000005</v>
      </c>
      <c r="D569" s="5">
        <f t="shared" ref="D569:D575" si="47">+C569</f>
        <v>652.20000000000005</v>
      </c>
      <c r="E569" s="5" t="s">
        <v>214</v>
      </c>
      <c r="F569" s="5" t="s">
        <v>215</v>
      </c>
    </row>
    <row r="570" spans="1:6" x14ac:dyDescent="0.25">
      <c r="A570" s="5">
        <v>4</v>
      </c>
      <c r="B570" s="5" t="s">
        <v>225</v>
      </c>
      <c r="C570" s="5">
        <f>2662.8+2662.8</f>
        <v>5325.6</v>
      </c>
      <c r="D570" s="5">
        <f t="shared" si="47"/>
        <v>5325.6</v>
      </c>
      <c r="E570" s="5" t="s">
        <v>214</v>
      </c>
      <c r="F570" s="5" t="s">
        <v>215</v>
      </c>
    </row>
    <row r="571" spans="1:6" x14ac:dyDescent="0.25">
      <c r="A571" s="5">
        <v>4</v>
      </c>
      <c r="B571" s="5" t="s">
        <v>226</v>
      </c>
      <c r="C571" s="5">
        <f>663.12+663.12</f>
        <v>1326.24</v>
      </c>
      <c r="D571" s="5">
        <f t="shared" si="47"/>
        <v>1326.24</v>
      </c>
      <c r="E571" s="5" t="s">
        <v>214</v>
      </c>
      <c r="F571" s="5" t="s">
        <v>215</v>
      </c>
    </row>
    <row r="572" spans="1:6" x14ac:dyDescent="0.25">
      <c r="A572" s="5">
        <v>4</v>
      </c>
      <c r="B572" s="5" t="s">
        <v>227</v>
      </c>
      <c r="C572" s="5">
        <f>3065.88+3065.88</f>
        <v>6131.76</v>
      </c>
      <c r="D572" s="5">
        <f>2734.98+2739.25</f>
        <v>5474.23</v>
      </c>
      <c r="E572" s="5" t="s">
        <v>214</v>
      </c>
      <c r="F572" s="5" t="s">
        <v>215</v>
      </c>
    </row>
    <row r="573" spans="1:6" x14ac:dyDescent="0.25">
      <c r="A573" s="5">
        <v>4</v>
      </c>
      <c r="B573" s="5" t="s">
        <v>228</v>
      </c>
      <c r="C573" s="5">
        <f>539.7+539.7</f>
        <v>1079.4000000000001</v>
      </c>
      <c r="D573" s="5">
        <f t="shared" si="47"/>
        <v>1079.4000000000001</v>
      </c>
      <c r="E573" s="5" t="s">
        <v>214</v>
      </c>
      <c r="F573" s="5" t="s">
        <v>215</v>
      </c>
    </row>
    <row r="574" spans="1:6" x14ac:dyDescent="0.25">
      <c r="A574" s="5">
        <v>4</v>
      </c>
      <c r="B574" s="5" t="s">
        <v>229</v>
      </c>
      <c r="C574" s="5">
        <f>187.2+187.2</f>
        <v>374.4</v>
      </c>
      <c r="D574" s="5">
        <f>167+167.26</f>
        <v>334.26</v>
      </c>
      <c r="E574" s="5" t="s">
        <v>214</v>
      </c>
      <c r="F574" s="5" t="s">
        <v>215</v>
      </c>
    </row>
    <row r="575" spans="1:6" s="5" customFormat="1" x14ac:dyDescent="0.25">
      <c r="A575" s="5">
        <v>4</v>
      </c>
      <c r="B575" s="5" t="s">
        <v>461</v>
      </c>
      <c r="C575" s="5">
        <v>0</v>
      </c>
      <c r="D575" s="5">
        <f t="shared" si="47"/>
        <v>0</v>
      </c>
      <c r="E575" s="5" t="s">
        <v>214</v>
      </c>
      <c r="F575" s="5" t="s">
        <v>215</v>
      </c>
    </row>
    <row r="576" spans="1:6" x14ac:dyDescent="0.25">
      <c r="A576" s="5">
        <v>5</v>
      </c>
      <c r="B576" s="5" t="s">
        <v>222</v>
      </c>
      <c r="C576" s="5">
        <f>23005.92+23005.92</f>
        <v>46011.839999999997</v>
      </c>
      <c r="D576" s="5">
        <f>20245.97+20435.79</f>
        <v>40681.760000000002</v>
      </c>
      <c r="E576" s="5" t="s">
        <v>214</v>
      </c>
      <c r="F576" s="5" t="s">
        <v>215</v>
      </c>
    </row>
    <row r="577" spans="1:6" x14ac:dyDescent="0.25">
      <c r="A577" s="5">
        <v>5</v>
      </c>
      <c r="B577" s="5" t="s">
        <v>223</v>
      </c>
      <c r="C577" s="5">
        <f>439.8+439.8</f>
        <v>879.6</v>
      </c>
      <c r="D577" s="5">
        <f>+C577</f>
        <v>879.6</v>
      </c>
      <c r="E577" s="5" t="s">
        <v>214</v>
      </c>
      <c r="F577" s="5" t="s">
        <v>215</v>
      </c>
    </row>
    <row r="578" spans="1:6" x14ac:dyDescent="0.25">
      <c r="A578" s="5">
        <v>5</v>
      </c>
      <c r="B578" s="5" t="s">
        <v>224</v>
      </c>
      <c r="C578" s="5">
        <f>326.1+326.1</f>
        <v>652.20000000000005</v>
      </c>
      <c r="D578" s="5">
        <f t="shared" ref="D578:D584" si="48">+C578</f>
        <v>652.20000000000005</v>
      </c>
      <c r="E578" s="5" t="s">
        <v>214</v>
      </c>
      <c r="F578" s="5" t="s">
        <v>215</v>
      </c>
    </row>
    <row r="579" spans="1:6" x14ac:dyDescent="0.25">
      <c r="A579" s="5">
        <v>5</v>
      </c>
      <c r="B579" s="5" t="s">
        <v>225</v>
      </c>
      <c r="C579" s="5">
        <f>2662.8+2662.8</f>
        <v>5325.6</v>
      </c>
      <c r="D579" s="5">
        <f t="shared" si="48"/>
        <v>5325.6</v>
      </c>
      <c r="E579" s="5" t="s">
        <v>214</v>
      </c>
      <c r="F579" s="5" t="s">
        <v>215</v>
      </c>
    </row>
    <row r="580" spans="1:6" x14ac:dyDescent="0.25">
      <c r="A580" s="5">
        <v>5</v>
      </c>
      <c r="B580" s="5" t="s">
        <v>226</v>
      </c>
      <c r="C580" s="5">
        <f>663.12+663.12</f>
        <v>1326.24</v>
      </c>
      <c r="D580" s="5">
        <f t="shared" si="48"/>
        <v>1326.24</v>
      </c>
      <c r="E580" s="5" t="s">
        <v>214</v>
      </c>
      <c r="F580" s="5" t="s">
        <v>215</v>
      </c>
    </row>
    <row r="581" spans="1:6" x14ac:dyDescent="0.25">
      <c r="A581" s="5">
        <v>5</v>
      </c>
      <c r="B581" s="5" t="s">
        <v>227</v>
      </c>
      <c r="C581" s="5">
        <f>18676.74+18676.76</f>
        <v>37353.5</v>
      </c>
      <c r="D581" s="5">
        <f>16436.15+16590.27</f>
        <v>33026.42</v>
      </c>
      <c r="E581" s="5" t="s">
        <v>214</v>
      </c>
      <c r="F581" s="5" t="s">
        <v>215</v>
      </c>
    </row>
    <row r="582" spans="1:6" x14ac:dyDescent="0.25">
      <c r="A582" s="5">
        <v>5</v>
      </c>
      <c r="B582" s="5" t="s">
        <v>228</v>
      </c>
      <c r="C582" s="5">
        <f>539.7+539.7</f>
        <v>1079.4000000000001</v>
      </c>
      <c r="D582" s="5">
        <f t="shared" si="48"/>
        <v>1079.4000000000001</v>
      </c>
      <c r="E582" s="5" t="s">
        <v>214</v>
      </c>
      <c r="F582" s="5" t="s">
        <v>215</v>
      </c>
    </row>
    <row r="583" spans="1:6" x14ac:dyDescent="0.25">
      <c r="A583" s="5">
        <v>5</v>
      </c>
      <c r="B583" s="5" t="s">
        <v>229</v>
      </c>
      <c r="C583" s="5">
        <f>4685.82+4685.82</f>
        <v>9371.64</v>
      </c>
      <c r="D583" s="5">
        <f>4123.68+4162.34</f>
        <v>8286.02</v>
      </c>
      <c r="E583" s="5" t="s">
        <v>214</v>
      </c>
      <c r="F583" s="5" t="s">
        <v>215</v>
      </c>
    </row>
    <row r="584" spans="1:6" s="5" customFormat="1" x14ac:dyDescent="0.25">
      <c r="A584" s="5">
        <v>5</v>
      </c>
      <c r="B584" s="5" t="s">
        <v>461</v>
      </c>
      <c r="C584" s="5">
        <v>2240.6799999999998</v>
      </c>
      <c r="D584" s="5">
        <f t="shared" si="48"/>
        <v>2240.6799999999998</v>
      </c>
      <c r="E584" s="5" t="s">
        <v>214</v>
      </c>
      <c r="F584" s="5" t="s">
        <v>215</v>
      </c>
    </row>
    <row r="585" spans="1:6" x14ac:dyDescent="0.25">
      <c r="A585" s="5">
        <v>6</v>
      </c>
      <c r="B585" s="5" t="s">
        <v>222</v>
      </c>
      <c r="C585" s="5">
        <f>18653.81+18220</f>
        <v>36873.81</v>
      </c>
      <c r="D585" s="5">
        <f>17268.34+17046.63</f>
        <v>34314.97</v>
      </c>
      <c r="E585" s="5" t="s">
        <v>214</v>
      </c>
      <c r="F585" s="5" t="s">
        <v>215</v>
      </c>
    </row>
    <row r="586" spans="1:6" x14ac:dyDescent="0.25">
      <c r="A586" s="5">
        <v>6</v>
      </c>
      <c r="B586" s="5" t="s">
        <v>223</v>
      </c>
      <c r="C586" s="5">
        <f>420.25+410.48</f>
        <v>830.73</v>
      </c>
      <c r="D586" s="5">
        <f>+C586</f>
        <v>830.73</v>
      </c>
      <c r="E586" s="5" t="s">
        <v>214</v>
      </c>
      <c r="F586" s="5" t="s">
        <v>215</v>
      </c>
    </row>
    <row r="587" spans="1:6" x14ac:dyDescent="0.25">
      <c r="A587" s="5">
        <v>6</v>
      </c>
      <c r="B587" s="5" t="s">
        <v>224</v>
      </c>
      <c r="C587" s="5">
        <f>311.61+304.36</f>
        <v>615.97</v>
      </c>
      <c r="D587" s="5">
        <f t="shared" ref="D587:D593" si="49">+C587</f>
        <v>615.97</v>
      </c>
      <c r="E587" s="5" t="s">
        <v>214</v>
      </c>
      <c r="F587" s="5" t="s">
        <v>215</v>
      </c>
    </row>
    <row r="588" spans="1:6" x14ac:dyDescent="0.25">
      <c r="A588" s="5">
        <v>6</v>
      </c>
      <c r="B588" s="5" t="s">
        <v>225</v>
      </c>
      <c r="C588" s="5">
        <f>2544.45+2485.28</f>
        <v>5029.7299999999996</v>
      </c>
      <c r="D588" s="5">
        <f t="shared" si="49"/>
        <v>5029.7299999999996</v>
      </c>
      <c r="E588" s="5" t="s">
        <v>214</v>
      </c>
      <c r="F588" s="5" t="s">
        <v>215</v>
      </c>
    </row>
    <row r="589" spans="1:6" x14ac:dyDescent="0.25">
      <c r="A589" s="5">
        <v>6</v>
      </c>
      <c r="B589" s="5" t="s">
        <v>226</v>
      </c>
      <c r="C589" s="5">
        <f>633.65+618.91</f>
        <v>1252.56</v>
      </c>
      <c r="D589" s="5">
        <f t="shared" si="49"/>
        <v>1252.56</v>
      </c>
      <c r="E589" s="5" t="s">
        <v>214</v>
      </c>
      <c r="F589" s="5" t="s">
        <v>215</v>
      </c>
    </row>
    <row r="590" spans="1:6" x14ac:dyDescent="0.25">
      <c r="A590" s="5">
        <v>6</v>
      </c>
      <c r="B590" s="5" t="s">
        <v>227</v>
      </c>
      <c r="C590" s="5">
        <f>5408.31+5282.54</f>
        <v>10690.85</v>
      </c>
      <c r="D590" s="5">
        <f>5006.62+4942.34</f>
        <v>9948.9599999999991</v>
      </c>
      <c r="E590" s="5" t="s">
        <v>214</v>
      </c>
      <c r="F590" s="5" t="s">
        <v>215</v>
      </c>
    </row>
    <row r="591" spans="1:6" x14ac:dyDescent="0.25">
      <c r="A591" s="5">
        <v>6</v>
      </c>
      <c r="B591" s="5" t="s">
        <v>228</v>
      </c>
      <c r="C591" s="5">
        <f>515.71+503.72</f>
        <v>1019.4300000000001</v>
      </c>
      <c r="D591" s="5">
        <f t="shared" si="49"/>
        <v>1019.4300000000001</v>
      </c>
      <c r="E591" s="5" t="s">
        <v>214</v>
      </c>
      <c r="F591" s="5" t="s">
        <v>215</v>
      </c>
    </row>
    <row r="592" spans="1:6" x14ac:dyDescent="0.25">
      <c r="A592" s="5">
        <v>6</v>
      </c>
      <c r="B592" s="5" t="s">
        <v>229</v>
      </c>
      <c r="C592" s="5">
        <f>178.88+174.72</f>
        <v>353.6</v>
      </c>
      <c r="D592" s="5">
        <f>165.59+163.47</f>
        <v>329.06</v>
      </c>
      <c r="E592" s="5" t="s">
        <v>214</v>
      </c>
      <c r="F592" s="5" t="s">
        <v>215</v>
      </c>
    </row>
    <row r="593" spans="1:6" s="5" customFormat="1" x14ac:dyDescent="0.25">
      <c r="A593" s="5">
        <v>6</v>
      </c>
      <c r="B593" s="5" t="s">
        <v>461</v>
      </c>
      <c r="C593" s="5">
        <v>0</v>
      </c>
      <c r="D593" s="5">
        <f t="shared" si="49"/>
        <v>0</v>
      </c>
      <c r="E593" s="5" t="s">
        <v>214</v>
      </c>
      <c r="F593" s="5" t="s">
        <v>215</v>
      </c>
    </row>
    <row r="594" spans="1:6" x14ac:dyDescent="0.25">
      <c r="A594" s="5">
        <v>7</v>
      </c>
      <c r="B594" s="5" t="s">
        <v>222</v>
      </c>
      <c r="C594" s="5">
        <f>19521.42+19521.42</f>
        <v>39042.839999999997</v>
      </c>
      <c r="D594" s="5">
        <f>18149.3+18149.3</f>
        <v>36298.6</v>
      </c>
      <c r="E594" s="5" t="s">
        <v>214</v>
      </c>
      <c r="F594" s="5" t="s">
        <v>215</v>
      </c>
    </row>
    <row r="595" spans="1:6" x14ac:dyDescent="0.25">
      <c r="A595" s="5">
        <v>7</v>
      </c>
      <c r="B595" s="5" t="s">
        <v>223</v>
      </c>
      <c r="C595" s="5">
        <f>439.8+439.8</f>
        <v>879.6</v>
      </c>
      <c r="D595" s="5">
        <f>+C595</f>
        <v>879.6</v>
      </c>
      <c r="E595" s="5" t="s">
        <v>214</v>
      </c>
      <c r="F595" s="5" t="s">
        <v>215</v>
      </c>
    </row>
    <row r="596" spans="1:6" x14ac:dyDescent="0.25">
      <c r="A596" s="5">
        <v>7</v>
      </c>
      <c r="B596" s="5" t="s">
        <v>224</v>
      </c>
      <c r="C596" s="5">
        <f>326.1+326.1</f>
        <v>652.20000000000005</v>
      </c>
      <c r="D596" s="5">
        <f t="shared" ref="D596:D602" si="50">+C596</f>
        <v>652.20000000000005</v>
      </c>
      <c r="E596" s="5" t="s">
        <v>214</v>
      </c>
      <c r="F596" s="5" t="s">
        <v>215</v>
      </c>
    </row>
    <row r="597" spans="1:6" x14ac:dyDescent="0.25">
      <c r="A597" s="5">
        <v>7</v>
      </c>
      <c r="B597" s="5" t="s">
        <v>225</v>
      </c>
      <c r="C597" s="5">
        <f>2662.8+2662.8</f>
        <v>5325.6</v>
      </c>
      <c r="D597" s="5">
        <f t="shared" si="50"/>
        <v>5325.6</v>
      </c>
      <c r="E597" s="5" t="s">
        <v>214</v>
      </c>
      <c r="F597" s="5" t="s">
        <v>215</v>
      </c>
    </row>
    <row r="598" spans="1:6" x14ac:dyDescent="0.25">
      <c r="A598" s="5">
        <v>7</v>
      </c>
      <c r="B598" s="5" t="s">
        <v>226</v>
      </c>
      <c r="C598" s="5">
        <f>663.12+663.12</f>
        <v>1326.24</v>
      </c>
      <c r="D598" s="5">
        <f t="shared" si="50"/>
        <v>1326.24</v>
      </c>
      <c r="E598" s="5" t="s">
        <v>214</v>
      </c>
      <c r="F598" s="5" t="s">
        <v>215</v>
      </c>
    </row>
    <row r="599" spans="1:6" x14ac:dyDescent="0.25">
      <c r="A599" s="5">
        <v>7</v>
      </c>
      <c r="B599" s="5" t="s">
        <v>227</v>
      </c>
      <c r="C599" s="5">
        <v>0</v>
      </c>
      <c r="D599" s="5">
        <v>0</v>
      </c>
      <c r="E599" s="5" t="s">
        <v>214</v>
      </c>
      <c r="F599" s="5" t="s">
        <v>215</v>
      </c>
    </row>
    <row r="600" spans="1:6" x14ac:dyDescent="0.25">
      <c r="A600" s="5">
        <v>7</v>
      </c>
      <c r="B600" s="5" t="s">
        <v>228</v>
      </c>
      <c r="C600" s="5">
        <f>539.7+539.7</f>
        <v>1079.4000000000001</v>
      </c>
      <c r="D600" s="5">
        <f t="shared" si="50"/>
        <v>1079.4000000000001</v>
      </c>
      <c r="E600" s="5" t="s">
        <v>214</v>
      </c>
      <c r="F600" s="5" t="s">
        <v>215</v>
      </c>
    </row>
    <row r="601" spans="1:6" x14ac:dyDescent="0.25">
      <c r="A601" s="5">
        <v>7</v>
      </c>
      <c r="B601" s="5" t="s">
        <v>229</v>
      </c>
      <c r="C601" s="5">
        <f>187.2+187.2</f>
        <v>374.4</v>
      </c>
      <c r="D601" s="5">
        <f>174.04+174.04</f>
        <v>348.08</v>
      </c>
      <c r="E601" s="5" t="s">
        <v>214</v>
      </c>
      <c r="F601" s="5" t="s">
        <v>215</v>
      </c>
    </row>
    <row r="602" spans="1:6" s="5" customFormat="1" x14ac:dyDescent="0.25">
      <c r="A602" s="5">
        <v>7</v>
      </c>
      <c r="B602" s="5" t="s">
        <v>461</v>
      </c>
      <c r="C602" s="5">
        <v>0</v>
      </c>
      <c r="D602" s="5">
        <f t="shared" si="50"/>
        <v>0</v>
      </c>
      <c r="E602" s="5" t="s">
        <v>214</v>
      </c>
      <c r="F602" s="5" t="s">
        <v>215</v>
      </c>
    </row>
    <row r="603" spans="1:6" x14ac:dyDescent="0.25">
      <c r="A603" s="5">
        <v>8</v>
      </c>
      <c r="B603" s="5" t="s">
        <v>222</v>
      </c>
      <c r="C603" s="5">
        <f>22115.4+22115.4</f>
        <v>44230.8</v>
      </c>
      <c r="D603" s="5">
        <f>19628.33+19618.52</f>
        <v>39246.850000000006</v>
      </c>
      <c r="E603" s="5" t="s">
        <v>214</v>
      </c>
      <c r="F603" s="5" t="s">
        <v>215</v>
      </c>
    </row>
    <row r="604" spans="1:6" x14ac:dyDescent="0.25">
      <c r="A604" s="5">
        <v>8</v>
      </c>
      <c r="B604" s="5" t="s">
        <v>223</v>
      </c>
      <c r="C604" s="5">
        <f>439.8+439.8</f>
        <v>879.6</v>
      </c>
      <c r="D604" s="5">
        <f>+C604</f>
        <v>879.6</v>
      </c>
      <c r="E604" s="5" t="s">
        <v>214</v>
      </c>
      <c r="F604" s="5" t="s">
        <v>215</v>
      </c>
    </row>
    <row r="605" spans="1:6" x14ac:dyDescent="0.25">
      <c r="A605" s="5">
        <v>8</v>
      </c>
      <c r="B605" s="5" t="s">
        <v>224</v>
      </c>
      <c r="C605" s="5">
        <f>326.1+326.1</f>
        <v>652.20000000000005</v>
      </c>
      <c r="D605" s="5">
        <f t="shared" ref="D605:D611" si="51">+C605</f>
        <v>652.20000000000005</v>
      </c>
      <c r="E605" s="5" t="s">
        <v>214</v>
      </c>
      <c r="F605" s="5" t="s">
        <v>215</v>
      </c>
    </row>
    <row r="606" spans="1:6" x14ac:dyDescent="0.25">
      <c r="A606" s="5">
        <v>8</v>
      </c>
      <c r="B606" s="5" t="s">
        <v>225</v>
      </c>
      <c r="C606" s="5">
        <f>2662.8+2662.8</f>
        <v>5325.6</v>
      </c>
      <c r="D606" s="5">
        <f t="shared" si="51"/>
        <v>5325.6</v>
      </c>
      <c r="E606" s="5" t="s">
        <v>214</v>
      </c>
      <c r="F606" s="5" t="s">
        <v>215</v>
      </c>
    </row>
    <row r="607" spans="1:6" x14ac:dyDescent="0.25">
      <c r="A607" s="5">
        <v>8</v>
      </c>
      <c r="B607" s="5" t="s">
        <v>226</v>
      </c>
      <c r="C607" s="5">
        <f>663.12+663.12</f>
        <v>1326.24</v>
      </c>
      <c r="D607" s="5">
        <f t="shared" si="51"/>
        <v>1326.24</v>
      </c>
      <c r="E607" s="5" t="s">
        <v>214</v>
      </c>
      <c r="F607" s="5" t="s">
        <v>215</v>
      </c>
    </row>
    <row r="608" spans="1:6" x14ac:dyDescent="0.25">
      <c r="A608" s="5">
        <v>8</v>
      </c>
      <c r="B608" s="5" t="s">
        <v>227</v>
      </c>
      <c r="C608" s="5">
        <v>0</v>
      </c>
      <c r="D608" s="5">
        <v>0</v>
      </c>
      <c r="E608" s="5" t="s">
        <v>214</v>
      </c>
      <c r="F608" s="5" t="s">
        <v>215</v>
      </c>
    </row>
    <row r="609" spans="1:6" x14ac:dyDescent="0.25">
      <c r="A609" s="5">
        <v>8</v>
      </c>
      <c r="B609" s="5" t="s">
        <v>228</v>
      </c>
      <c r="C609" s="5">
        <f>539.7+539.7</f>
        <v>1079.4000000000001</v>
      </c>
      <c r="D609" s="5">
        <f t="shared" si="51"/>
        <v>1079.4000000000001</v>
      </c>
      <c r="E609" s="5" t="s">
        <v>214</v>
      </c>
      <c r="F609" s="5" t="s">
        <v>215</v>
      </c>
    </row>
    <row r="610" spans="1:6" x14ac:dyDescent="0.25">
      <c r="A610" s="5">
        <v>8</v>
      </c>
      <c r="B610" s="5" t="s">
        <v>229</v>
      </c>
      <c r="C610" s="5">
        <f>187.2+187.2</f>
        <v>374.4</v>
      </c>
      <c r="D610" s="5">
        <f>166.15+166.06</f>
        <v>332.21000000000004</v>
      </c>
      <c r="E610" s="5" t="s">
        <v>214</v>
      </c>
      <c r="F610" s="5" t="s">
        <v>215</v>
      </c>
    </row>
    <row r="611" spans="1:6" s="5" customFormat="1" x14ac:dyDescent="0.25">
      <c r="A611" s="5">
        <v>8</v>
      </c>
      <c r="B611" s="5" t="s">
        <v>461</v>
      </c>
      <c r="C611" s="5">
        <v>2240.6799999999998</v>
      </c>
      <c r="D611" s="5">
        <f t="shared" si="51"/>
        <v>2240.6799999999998</v>
      </c>
      <c r="E611" s="5" t="s">
        <v>214</v>
      </c>
      <c r="F611" s="5" t="s">
        <v>215</v>
      </c>
    </row>
    <row r="612" spans="1:6" x14ac:dyDescent="0.25">
      <c r="A612" s="5">
        <v>9</v>
      </c>
      <c r="B612" s="5" t="s">
        <v>222</v>
      </c>
      <c r="C612" s="5">
        <f>18653.82+18870.71</f>
        <v>37524.53</v>
      </c>
      <c r="D612" s="5">
        <f>17478.12+17613.45</f>
        <v>35091.57</v>
      </c>
      <c r="E612" s="5" t="s">
        <v>214</v>
      </c>
      <c r="F612" s="5" t="s">
        <v>215</v>
      </c>
    </row>
    <row r="613" spans="1:6" x14ac:dyDescent="0.25">
      <c r="A613" s="5">
        <v>9</v>
      </c>
      <c r="B613" s="5" t="s">
        <v>223</v>
      </c>
      <c r="C613" s="5">
        <f>420.24+425.14</f>
        <v>845.38</v>
      </c>
      <c r="D613" s="5">
        <f>+C613</f>
        <v>845.38</v>
      </c>
      <c r="E613" s="5" t="s">
        <v>214</v>
      </c>
      <c r="F613" s="5" t="s">
        <v>215</v>
      </c>
    </row>
    <row r="614" spans="1:6" x14ac:dyDescent="0.25">
      <c r="A614" s="5">
        <v>9</v>
      </c>
      <c r="B614" s="5" t="s">
        <v>224</v>
      </c>
      <c r="C614" s="5">
        <f>311.62+315.23</f>
        <v>626.85</v>
      </c>
      <c r="D614" s="5">
        <f t="shared" ref="D614:D620" si="52">+C614</f>
        <v>626.85</v>
      </c>
      <c r="E614" s="5" t="s">
        <v>214</v>
      </c>
      <c r="F614" s="5" t="s">
        <v>215</v>
      </c>
    </row>
    <row r="615" spans="1:6" x14ac:dyDescent="0.25">
      <c r="A615" s="5">
        <v>9</v>
      </c>
      <c r="B615" s="5" t="s">
        <v>225</v>
      </c>
      <c r="C615" s="5">
        <f>2544.44+2574.04</f>
        <v>5118.4799999999996</v>
      </c>
      <c r="D615" s="5">
        <f t="shared" si="52"/>
        <v>5118.4799999999996</v>
      </c>
      <c r="E615" s="5" t="s">
        <v>214</v>
      </c>
      <c r="F615" s="5" t="s">
        <v>215</v>
      </c>
    </row>
    <row r="616" spans="1:6" x14ac:dyDescent="0.25">
      <c r="A616" s="5">
        <v>9</v>
      </c>
      <c r="B616" s="5" t="s">
        <v>226</v>
      </c>
      <c r="C616" s="5">
        <f>633.64+641.01</f>
        <v>1274.6500000000001</v>
      </c>
      <c r="D616" s="5">
        <f t="shared" si="52"/>
        <v>1274.6500000000001</v>
      </c>
      <c r="E616" s="5" t="s">
        <v>214</v>
      </c>
      <c r="F616" s="5" t="s">
        <v>215</v>
      </c>
    </row>
    <row r="617" spans="1:6" x14ac:dyDescent="0.25">
      <c r="A617" s="5">
        <v>9</v>
      </c>
      <c r="B617" s="5" t="s">
        <v>227</v>
      </c>
      <c r="C617" s="5">
        <v>0</v>
      </c>
      <c r="D617" s="5">
        <v>0</v>
      </c>
      <c r="E617" s="5" t="s">
        <v>214</v>
      </c>
      <c r="F617" s="5" t="s">
        <v>215</v>
      </c>
    </row>
    <row r="618" spans="1:6" x14ac:dyDescent="0.25">
      <c r="A618" s="5">
        <v>9</v>
      </c>
      <c r="B618" s="5" t="s">
        <v>228</v>
      </c>
      <c r="C618" s="5">
        <f>515.7+521.71</f>
        <v>1037.4100000000001</v>
      </c>
      <c r="D618" s="5">
        <f t="shared" si="52"/>
        <v>1037.4100000000001</v>
      </c>
      <c r="E618" s="5" t="s">
        <v>214</v>
      </c>
      <c r="F618" s="5" t="s">
        <v>215</v>
      </c>
    </row>
    <row r="619" spans="1:6" x14ac:dyDescent="0.25">
      <c r="A619" s="5">
        <v>9</v>
      </c>
      <c r="B619" s="5" t="s">
        <v>229</v>
      </c>
      <c r="C619" s="5">
        <f>178.88+180.96</f>
        <v>359.84000000000003</v>
      </c>
      <c r="D619" s="5">
        <f>167.61+168.9</f>
        <v>336.51</v>
      </c>
      <c r="E619" s="5" t="s">
        <v>214</v>
      </c>
      <c r="F619" s="5" t="s">
        <v>215</v>
      </c>
    </row>
    <row r="620" spans="1:6" s="5" customFormat="1" x14ac:dyDescent="0.25">
      <c r="A620" s="5">
        <v>9</v>
      </c>
      <c r="B620" s="5" t="s">
        <v>461</v>
      </c>
      <c r="C620" s="5">
        <v>2240.6799999999998</v>
      </c>
      <c r="D620" s="5">
        <f t="shared" si="52"/>
        <v>2240.6799999999998</v>
      </c>
      <c r="E620" s="5" t="s">
        <v>214</v>
      </c>
      <c r="F620" s="5" t="s">
        <v>215</v>
      </c>
    </row>
    <row r="621" spans="1:6" x14ac:dyDescent="0.25">
      <c r="A621" s="5">
        <v>10</v>
      </c>
      <c r="B621" s="5" t="s">
        <v>222</v>
      </c>
      <c r="C621" s="5">
        <f>19304.52+19304.52</f>
        <v>38609.040000000001</v>
      </c>
      <c r="D621" s="5">
        <f>17799.89+17928.13</f>
        <v>35728.020000000004</v>
      </c>
      <c r="E621" s="5" t="s">
        <v>214</v>
      </c>
      <c r="F621" s="5" t="s">
        <v>215</v>
      </c>
    </row>
    <row r="622" spans="1:6" x14ac:dyDescent="0.25">
      <c r="A622" s="5">
        <v>10</v>
      </c>
      <c r="B622" s="5" t="s">
        <v>223</v>
      </c>
      <c r="C622" s="5">
        <f>434.91+434.91</f>
        <v>869.82</v>
      </c>
      <c r="D622" s="5">
        <f>+C622</f>
        <v>869.82</v>
      </c>
      <c r="E622" s="5" t="s">
        <v>214</v>
      </c>
      <c r="F622" s="5" t="s">
        <v>215</v>
      </c>
    </row>
    <row r="623" spans="1:6" x14ac:dyDescent="0.25">
      <c r="A623" s="5">
        <v>10</v>
      </c>
      <c r="B623" s="5" t="s">
        <v>224</v>
      </c>
      <c r="C623" s="5">
        <f>322.48+322.48</f>
        <v>644.96</v>
      </c>
      <c r="D623" s="5">
        <f t="shared" ref="D623:D629" si="53">+C623</f>
        <v>644.96</v>
      </c>
      <c r="E623" s="5" t="s">
        <v>214</v>
      </c>
      <c r="F623" s="5" t="s">
        <v>215</v>
      </c>
    </row>
    <row r="624" spans="1:6" x14ac:dyDescent="0.25">
      <c r="A624" s="5">
        <v>10</v>
      </c>
      <c r="B624" s="5" t="s">
        <v>225</v>
      </c>
      <c r="C624" s="5">
        <f>2633.21+2633.21</f>
        <v>5266.42</v>
      </c>
      <c r="D624" s="5">
        <f t="shared" si="53"/>
        <v>5266.42</v>
      </c>
      <c r="E624" s="5" t="s">
        <v>214</v>
      </c>
      <c r="F624" s="5" t="s">
        <v>215</v>
      </c>
    </row>
    <row r="625" spans="1:6" x14ac:dyDescent="0.25">
      <c r="A625" s="5">
        <v>10</v>
      </c>
      <c r="B625" s="5" t="s">
        <v>226</v>
      </c>
      <c r="C625" s="5">
        <f>655.75+655.75</f>
        <v>1311.5</v>
      </c>
      <c r="D625" s="5">
        <f t="shared" si="53"/>
        <v>1311.5</v>
      </c>
      <c r="E625" s="5" t="s">
        <v>214</v>
      </c>
      <c r="F625" s="5" t="s">
        <v>215</v>
      </c>
    </row>
    <row r="626" spans="1:6" x14ac:dyDescent="0.25">
      <c r="A626" s="5">
        <v>10</v>
      </c>
      <c r="B626" s="5" t="s">
        <v>227</v>
      </c>
      <c r="C626" s="5">
        <f>5596.97+5596.97</f>
        <v>11193.94</v>
      </c>
      <c r="D626" s="5">
        <f>5160.73+5197.91</f>
        <v>10358.64</v>
      </c>
      <c r="E626" s="5" t="s">
        <v>214</v>
      </c>
      <c r="F626" s="5" t="s">
        <v>215</v>
      </c>
    </row>
    <row r="627" spans="1:6" x14ac:dyDescent="0.25">
      <c r="A627" s="5">
        <v>10</v>
      </c>
      <c r="B627" s="5" t="s">
        <v>228</v>
      </c>
      <c r="C627" s="5">
        <f>533.7+533.7</f>
        <v>1067.4000000000001</v>
      </c>
      <c r="D627" s="5">
        <f t="shared" si="53"/>
        <v>1067.4000000000001</v>
      </c>
      <c r="E627" s="5" t="s">
        <v>214</v>
      </c>
      <c r="F627" s="5" t="s">
        <v>215</v>
      </c>
    </row>
    <row r="628" spans="1:6" x14ac:dyDescent="0.25">
      <c r="A628" s="5">
        <v>10</v>
      </c>
      <c r="B628" s="5" t="s">
        <v>229</v>
      </c>
      <c r="C628" s="5">
        <f>185.12+185.12</f>
        <v>370.24</v>
      </c>
      <c r="D628" s="5">
        <f>170.69+171.92</f>
        <v>342.61</v>
      </c>
      <c r="E628" s="5" t="s">
        <v>214</v>
      </c>
      <c r="F628" s="5" t="s">
        <v>215</v>
      </c>
    </row>
    <row r="629" spans="1:6" s="5" customFormat="1" x14ac:dyDescent="0.25">
      <c r="A629" s="5">
        <v>10</v>
      </c>
      <c r="B629" s="5" t="s">
        <v>461</v>
      </c>
      <c r="C629" s="5">
        <v>2240.6799999999998</v>
      </c>
      <c r="D629" s="5">
        <f t="shared" si="53"/>
        <v>2240.6799999999998</v>
      </c>
      <c r="E629" s="5" t="s">
        <v>214</v>
      </c>
      <c r="F629" s="5" t="s">
        <v>215</v>
      </c>
    </row>
    <row r="630" spans="1:6" x14ac:dyDescent="0.25">
      <c r="A630" s="5">
        <v>11</v>
      </c>
      <c r="B630" s="5" t="s">
        <v>222</v>
      </c>
      <c r="C630" s="5">
        <v>11502.96</v>
      </c>
      <c r="D630" s="5">
        <v>9816.09</v>
      </c>
      <c r="E630" s="5" t="s">
        <v>214</v>
      </c>
      <c r="F630" s="5" t="s">
        <v>215</v>
      </c>
    </row>
    <row r="631" spans="1:6" x14ac:dyDescent="0.25">
      <c r="A631" s="5">
        <v>11</v>
      </c>
      <c r="B631" s="5" t="s">
        <v>223</v>
      </c>
      <c r="C631" s="5">
        <v>219.9</v>
      </c>
      <c r="D631" s="5">
        <f>+C631</f>
        <v>219.9</v>
      </c>
      <c r="E631" s="5" t="s">
        <v>214</v>
      </c>
      <c r="F631" s="5" t="s">
        <v>215</v>
      </c>
    </row>
    <row r="632" spans="1:6" x14ac:dyDescent="0.25">
      <c r="A632" s="5">
        <v>11</v>
      </c>
      <c r="B632" s="5" t="s">
        <v>224</v>
      </c>
      <c r="C632" s="5">
        <v>163.05000000000001</v>
      </c>
      <c r="D632" s="5">
        <f t="shared" ref="D632:D638" si="54">+C632</f>
        <v>163.05000000000001</v>
      </c>
      <c r="E632" s="5" t="s">
        <v>214</v>
      </c>
      <c r="F632" s="5" t="s">
        <v>215</v>
      </c>
    </row>
    <row r="633" spans="1:6" x14ac:dyDescent="0.25">
      <c r="A633" s="5">
        <v>11</v>
      </c>
      <c r="B633" s="5" t="s">
        <v>225</v>
      </c>
      <c r="C633" s="5">
        <v>1331.4</v>
      </c>
      <c r="D633" s="5">
        <f t="shared" si="54"/>
        <v>1331.4</v>
      </c>
      <c r="E633" s="5" t="s">
        <v>214</v>
      </c>
      <c r="F633" s="5" t="s">
        <v>215</v>
      </c>
    </row>
    <row r="634" spans="1:6" x14ac:dyDescent="0.25">
      <c r="A634" s="5">
        <v>11</v>
      </c>
      <c r="B634" s="5" t="s">
        <v>226</v>
      </c>
      <c r="C634" s="5">
        <v>331.56</v>
      </c>
      <c r="D634" s="5">
        <f t="shared" si="54"/>
        <v>331.56</v>
      </c>
      <c r="E634" s="5" t="s">
        <v>214</v>
      </c>
      <c r="F634" s="5" t="s">
        <v>215</v>
      </c>
    </row>
    <row r="635" spans="1:6" x14ac:dyDescent="0.25">
      <c r="A635" s="5">
        <v>11</v>
      </c>
      <c r="B635" s="5" t="s">
        <v>227</v>
      </c>
      <c r="C635" s="5">
        <v>17870.22</v>
      </c>
      <c r="D635" s="5">
        <v>15249.62</v>
      </c>
      <c r="E635" s="5" t="s">
        <v>214</v>
      </c>
      <c r="F635" s="5" t="s">
        <v>215</v>
      </c>
    </row>
    <row r="636" spans="1:6" x14ac:dyDescent="0.25">
      <c r="A636" s="5">
        <v>11</v>
      </c>
      <c r="B636" s="5" t="s">
        <v>228</v>
      </c>
      <c r="C636" s="5">
        <v>269.85000000000002</v>
      </c>
      <c r="D636" s="5">
        <f t="shared" si="54"/>
        <v>269.85000000000002</v>
      </c>
      <c r="E636" s="5" t="s">
        <v>214</v>
      </c>
      <c r="F636" s="5" t="s">
        <v>215</v>
      </c>
    </row>
    <row r="637" spans="1:6" x14ac:dyDescent="0.25">
      <c r="A637" s="5">
        <v>11</v>
      </c>
      <c r="B637" s="5" t="s">
        <v>229</v>
      </c>
      <c r="C637" s="5">
        <v>2342.91</v>
      </c>
      <c r="D637" s="5">
        <v>1999.33</v>
      </c>
      <c r="E637" s="5" t="s">
        <v>214</v>
      </c>
      <c r="F637" s="5" t="s">
        <v>215</v>
      </c>
    </row>
    <row r="638" spans="1:6" s="5" customFormat="1" x14ac:dyDescent="0.25">
      <c r="A638" s="5">
        <v>11</v>
      </c>
      <c r="B638" s="5" t="s">
        <v>461</v>
      </c>
      <c r="C638" s="5">
        <v>0</v>
      </c>
      <c r="D638" s="5">
        <f t="shared" si="54"/>
        <v>0</v>
      </c>
      <c r="E638" s="5" t="s">
        <v>214</v>
      </c>
      <c r="F638" s="5" t="s">
        <v>215</v>
      </c>
    </row>
    <row r="639" spans="1:6" x14ac:dyDescent="0.25">
      <c r="A639" s="5">
        <v>12</v>
      </c>
      <c r="B639" s="5" t="s">
        <v>222</v>
      </c>
      <c r="C639" s="5">
        <f>19304.52+18870.71</f>
        <v>38175.229999999996</v>
      </c>
      <c r="D639" s="5">
        <f>17983.97+17653.31</f>
        <v>35637.279999999999</v>
      </c>
      <c r="E639" s="5" t="s">
        <v>214</v>
      </c>
      <c r="F639" s="5" t="s">
        <v>215</v>
      </c>
    </row>
    <row r="640" spans="1:6" x14ac:dyDescent="0.25">
      <c r="A640" s="5">
        <v>12</v>
      </c>
      <c r="B640" s="5" t="s">
        <v>223</v>
      </c>
      <c r="C640" s="5">
        <f>434.91+425.14</f>
        <v>860.05</v>
      </c>
      <c r="D640" s="5">
        <f>+C640</f>
        <v>860.05</v>
      </c>
      <c r="E640" s="5" t="s">
        <v>214</v>
      </c>
      <c r="F640" s="5" t="s">
        <v>215</v>
      </c>
    </row>
    <row r="641" spans="1:6" x14ac:dyDescent="0.25">
      <c r="A641" s="5">
        <v>12</v>
      </c>
      <c r="B641" s="5" t="s">
        <v>224</v>
      </c>
      <c r="C641" s="5">
        <f>322.48+315.23</f>
        <v>637.71</v>
      </c>
      <c r="D641" s="5">
        <f t="shared" ref="D641:D647" si="55">+C641</f>
        <v>637.71</v>
      </c>
      <c r="E641" s="5" t="s">
        <v>214</v>
      </c>
      <c r="F641" s="5" t="s">
        <v>215</v>
      </c>
    </row>
    <row r="642" spans="1:6" x14ac:dyDescent="0.25">
      <c r="A642" s="5">
        <v>12</v>
      </c>
      <c r="B642" s="5" t="s">
        <v>225</v>
      </c>
      <c r="C642" s="5">
        <f>2633.21+2574.04</f>
        <v>5207.25</v>
      </c>
      <c r="D642" s="5">
        <f t="shared" si="55"/>
        <v>5207.25</v>
      </c>
      <c r="E642" s="5" t="s">
        <v>214</v>
      </c>
      <c r="F642" s="5" t="s">
        <v>215</v>
      </c>
    </row>
    <row r="643" spans="1:6" x14ac:dyDescent="0.25">
      <c r="A643" s="5">
        <v>12</v>
      </c>
      <c r="B643" s="5" t="s">
        <v>226</v>
      </c>
      <c r="C643" s="5">
        <f>655.75+641.01</f>
        <v>1296.76</v>
      </c>
      <c r="D643" s="5">
        <f t="shared" si="55"/>
        <v>1296.76</v>
      </c>
      <c r="E643" s="5" t="s">
        <v>214</v>
      </c>
      <c r="F643" s="5" t="s">
        <v>215</v>
      </c>
    </row>
    <row r="644" spans="1:6" x14ac:dyDescent="0.25">
      <c r="A644" s="5">
        <v>12</v>
      </c>
      <c r="B644" s="5" t="s">
        <v>227</v>
      </c>
      <c r="C644" s="5">
        <v>0</v>
      </c>
      <c r="D644" s="5">
        <v>0</v>
      </c>
      <c r="E644" s="5" t="s">
        <v>214</v>
      </c>
      <c r="F644" s="5" t="s">
        <v>215</v>
      </c>
    </row>
    <row r="645" spans="1:6" x14ac:dyDescent="0.25">
      <c r="A645" s="5">
        <v>12</v>
      </c>
      <c r="B645" s="5" t="s">
        <v>228</v>
      </c>
      <c r="C645" s="5">
        <f>533.7+521.71</f>
        <v>1055.4100000000001</v>
      </c>
      <c r="D645" s="5">
        <f t="shared" si="55"/>
        <v>1055.4100000000001</v>
      </c>
      <c r="E645" s="5" t="s">
        <v>214</v>
      </c>
      <c r="F645" s="5" t="s">
        <v>215</v>
      </c>
    </row>
    <row r="646" spans="1:6" x14ac:dyDescent="0.25">
      <c r="A646" s="5">
        <v>12</v>
      </c>
      <c r="B646" s="5" t="s">
        <v>229</v>
      </c>
      <c r="C646" s="5">
        <f>185.12+180.96</f>
        <v>366.08000000000004</v>
      </c>
      <c r="D646" s="5">
        <f>172.46+169.29</f>
        <v>341.75</v>
      </c>
      <c r="E646" s="5" t="s">
        <v>214</v>
      </c>
      <c r="F646" s="5" t="s">
        <v>215</v>
      </c>
    </row>
    <row r="647" spans="1:6" s="5" customFormat="1" x14ac:dyDescent="0.25">
      <c r="A647" s="5">
        <v>12</v>
      </c>
      <c r="B647" s="5" t="s">
        <v>461</v>
      </c>
      <c r="C647" s="5">
        <v>0</v>
      </c>
      <c r="D647" s="5">
        <f t="shared" si="55"/>
        <v>0</v>
      </c>
      <c r="E647" s="5" t="s">
        <v>214</v>
      </c>
      <c r="F647" s="5" t="s">
        <v>215</v>
      </c>
    </row>
    <row r="648" spans="1:6" x14ac:dyDescent="0.25">
      <c r="A648" s="5">
        <v>13</v>
      </c>
      <c r="B648" s="5" t="s">
        <v>222</v>
      </c>
      <c r="C648" s="5">
        <f>22115.4+22115.4</f>
        <v>44230.8</v>
      </c>
      <c r="D648" s="5">
        <f>19722.74+19742.01</f>
        <v>39464.75</v>
      </c>
      <c r="E648" s="5" t="s">
        <v>214</v>
      </c>
      <c r="F648" s="5" t="s">
        <v>215</v>
      </c>
    </row>
    <row r="649" spans="1:6" x14ac:dyDescent="0.25">
      <c r="A649" s="5">
        <v>13</v>
      </c>
      <c r="B649" s="5" t="s">
        <v>223</v>
      </c>
      <c r="C649" s="5">
        <f>439.8+439.8</f>
        <v>879.6</v>
      </c>
      <c r="D649" s="5">
        <f>+C649</f>
        <v>879.6</v>
      </c>
      <c r="E649" s="5" t="s">
        <v>214</v>
      </c>
      <c r="F649" s="5" t="s">
        <v>215</v>
      </c>
    </row>
    <row r="650" spans="1:6" x14ac:dyDescent="0.25">
      <c r="A650" s="5">
        <v>13</v>
      </c>
      <c r="B650" s="5" t="s">
        <v>224</v>
      </c>
      <c r="C650" s="5">
        <f>326.1+326.1</f>
        <v>652.20000000000005</v>
      </c>
      <c r="D650" s="5">
        <f t="shared" ref="D650:D656" si="56">+C650</f>
        <v>652.20000000000005</v>
      </c>
      <c r="E650" s="5" t="s">
        <v>214</v>
      </c>
      <c r="F650" s="5" t="s">
        <v>215</v>
      </c>
    </row>
    <row r="651" spans="1:6" x14ac:dyDescent="0.25">
      <c r="A651" s="5">
        <v>13</v>
      </c>
      <c r="B651" s="5" t="s">
        <v>225</v>
      </c>
      <c r="C651" s="5">
        <f>2662.8+2662.8</f>
        <v>5325.6</v>
      </c>
      <c r="D651" s="5">
        <f t="shared" si="56"/>
        <v>5325.6</v>
      </c>
      <c r="E651" s="5" t="s">
        <v>214</v>
      </c>
      <c r="F651" s="5" t="s">
        <v>215</v>
      </c>
    </row>
    <row r="652" spans="1:6" x14ac:dyDescent="0.25">
      <c r="A652" s="5">
        <v>13</v>
      </c>
      <c r="B652" s="5" t="s">
        <v>226</v>
      </c>
      <c r="C652" s="5">
        <f>663.12+663.12</f>
        <v>1326.24</v>
      </c>
      <c r="D652" s="5">
        <f t="shared" si="56"/>
        <v>1326.24</v>
      </c>
      <c r="E652" s="5" t="s">
        <v>214</v>
      </c>
      <c r="F652" s="5" t="s">
        <v>215</v>
      </c>
    </row>
    <row r="653" spans="1:6" x14ac:dyDescent="0.25">
      <c r="A653" s="5">
        <v>13</v>
      </c>
      <c r="B653" s="5" t="s">
        <v>227</v>
      </c>
      <c r="C653" s="5">
        <f>3065.88+3065.88</f>
        <v>6131.76</v>
      </c>
      <c r="D653" s="5">
        <f>2734.18+2736.86</f>
        <v>5471.04</v>
      </c>
      <c r="E653" s="5" t="s">
        <v>214</v>
      </c>
      <c r="F653" s="5" t="s">
        <v>215</v>
      </c>
    </row>
    <row r="654" spans="1:6" x14ac:dyDescent="0.25">
      <c r="A654" s="5">
        <v>13</v>
      </c>
      <c r="B654" s="5" t="s">
        <v>228</v>
      </c>
      <c r="C654" s="5">
        <f>539.7+539.7</f>
        <v>1079.4000000000001</v>
      </c>
      <c r="D654" s="5">
        <f t="shared" si="56"/>
        <v>1079.4000000000001</v>
      </c>
      <c r="E654" s="5" t="s">
        <v>214</v>
      </c>
      <c r="F654" s="5" t="s">
        <v>215</v>
      </c>
    </row>
    <row r="655" spans="1:6" x14ac:dyDescent="0.25">
      <c r="A655" s="5">
        <v>13</v>
      </c>
      <c r="B655" s="5" t="s">
        <v>229</v>
      </c>
      <c r="C655" s="5">
        <f>187.2+187.2</f>
        <v>374.4</v>
      </c>
      <c r="D655" s="5">
        <f>166.95+167.11</f>
        <v>334.06</v>
      </c>
      <c r="E655" s="5" t="s">
        <v>214</v>
      </c>
      <c r="F655" s="5" t="s">
        <v>215</v>
      </c>
    </row>
    <row r="656" spans="1:6" s="5" customFormat="1" x14ac:dyDescent="0.25">
      <c r="A656" s="5">
        <v>13</v>
      </c>
      <c r="B656" s="5" t="s">
        <v>461</v>
      </c>
      <c r="C656" s="5">
        <v>725.4</v>
      </c>
      <c r="D656" s="5">
        <f t="shared" si="56"/>
        <v>725.4</v>
      </c>
      <c r="E656" s="5" t="s">
        <v>214</v>
      </c>
      <c r="F656" s="5" t="s">
        <v>215</v>
      </c>
    </row>
    <row r="657" spans="1:6" x14ac:dyDescent="0.25">
      <c r="A657" s="5">
        <v>14</v>
      </c>
      <c r="B657" s="5" t="s">
        <v>222</v>
      </c>
      <c r="C657" s="5">
        <f>19521.42+19521.42</f>
        <v>39042.839999999997</v>
      </c>
      <c r="D657" s="5">
        <f>18139.19+18128.79</f>
        <v>36267.979999999996</v>
      </c>
      <c r="E657" s="5" t="s">
        <v>214</v>
      </c>
      <c r="F657" s="5" t="s">
        <v>215</v>
      </c>
    </row>
    <row r="658" spans="1:6" x14ac:dyDescent="0.25">
      <c r="A658" s="5">
        <v>14</v>
      </c>
      <c r="B658" s="5" t="s">
        <v>223</v>
      </c>
      <c r="C658" s="5">
        <f>439.8+439.8</f>
        <v>879.6</v>
      </c>
      <c r="D658" s="5">
        <f>+C658</f>
        <v>879.6</v>
      </c>
      <c r="E658" s="5" t="s">
        <v>214</v>
      </c>
      <c r="F658" s="5" t="s">
        <v>215</v>
      </c>
    </row>
    <row r="659" spans="1:6" x14ac:dyDescent="0.25">
      <c r="A659" s="5">
        <v>14</v>
      </c>
      <c r="B659" s="5" t="s">
        <v>224</v>
      </c>
      <c r="C659" s="5">
        <f>326.1+326.1</f>
        <v>652.20000000000005</v>
      </c>
      <c r="D659" s="5">
        <f t="shared" ref="D659:D665" si="57">+C659</f>
        <v>652.20000000000005</v>
      </c>
      <c r="E659" s="5" t="s">
        <v>214</v>
      </c>
      <c r="F659" s="5" t="s">
        <v>215</v>
      </c>
    </row>
    <row r="660" spans="1:6" x14ac:dyDescent="0.25">
      <c r="A660" s="5">
        <v>14</v>
      </c>
      <c r="B660" s="5" t="s">
        <v>225</v>
      </c>
      <c r="C660" s="5">
        <f>2662.8+2662.8</f>
        <v>5325.6</v>
      </c>
      <c r="D660" s="5">
        <f t="shared" si="57"/>
        <v>5325.6</v>
      </c>
      <c r="E660" s="5" t="s">
        <v>214</v>
      </c>
      <c r="F660" s="5" t="s">
        <v>215</v>
      </c>
    </row>
    <row r="661" spans="1:6" x14ac:dyDescent="0.25">
      <c r="A661" s="5">
        <v>14</v>
      </c>
      <c r="B661" s="5" t="s">
        <v>226</v>
      </c>
      <c r="C661" s="5">
        <f>663.12+663.12</f>
        <v>1326.24</v>
      </c>
      <c r="D661" s="5">
        <f t="shared" si="57"/>
        <v>1326.24</v>
      </c>
      <c r="E661" s="5" t="s">
        <v>214</v>
      </c>
      <c r="F661" s="5" t="s">
        <v>215</v>
      </c>
    </row>
    <row r="662" spans="1:6" x14ac:dyDescent="0.25">
      <c r="A662" s="5">
        <v>14</v>
      </c>
      <c r="B662" s="5" t="s">
        <v>227</v>
      </c>
      <c r="C662" s="5">
        <v>0</v>
      </c>
      <c r="D662" s="5">
        <v>0</v>
      </c>
      <c r="E662" s="5" t="s">
        <v>214</v>
      </c>
      <c r="F662" s="5" t="s">
        <v>215</v>
      </c>
    </row>
    <row r="663" spans="1:6" x14ac:dyDescent="0.25">
      <c r="A663" s="5">
        <v>14</v>
      </c>
      <c r="B663" s="5" t="s">
        <v>228</v>
      </c>
      <c r="C663" s="5">
        <f>539.7+539.7</f>
        <v>1079.4000000000001</v>
      </c>
      <c r="D663" s="5">
        <f t="shared" si="57"/>
        <v>1079.4000000000001</v>
      </c>
      <c r="E663" s="5" t="s">
        <v>214</v>
      </c>
      <c r="F663" s="5" t="s">
        <v>215</v>
      </c>
    </row>
    <row r="664" spans="1:6" x14ac:dyDescent="0.25">
      <c r="A664" s="5">
        <v>14</v>
      </c>
      <c r="B664" s="5" t="s">
        <v>229</v>
      </c>
      <c r="C664" s="5">
        <f>187.2+187.2</f>
        <v>374.4</v>
      </c>
      <c r="D664" s="5">
        <f>173.95+173.85</f>
        <v>347.79999999999995</v>
      </c>
      <c r="E664" s="5" t="s">
        <v>214</v>
      </c>
      <c r="F664" s="5" t="s">
        <v>215</v>
      </c>
    </row>
    <row r="665" spans="1:6" s="5" customFormat="1" x14ac:dyDescent="0.25">
      <c r="A665" s="5">
        <v>14</v>
      </c>
      <c r="B665" s="5" t="s">
        <v>461</v>
      </c>
      <c r="C665" s="5">
        <v>2240.6799999999998</v>
      </c>
      <c r="D665" s="5">
        <f t="shared" si="57"/>
        <v>2240.6799999999998</v>
      </c>
      <c r="E665" s="5" t="s">
        <v>214</v>
      </c>
      <c r="F665" s="5" t="s">
        <v>215</v>
      </c>
    </row>
    <row r="666" spans="1:6" x14ac:dyDescent="0.25">
      <c r="A666" s="5">
        <v>15</v>
      </c>
      <c r="B666" s="5" t="s">
        <v>222</v>
      </c>
      <c r="C666" s="5">
        <f>22115.4+22115.4</f>
        <v>44230.8</v>
      </c>
      <c r="D666" s="5">
        <f>19722.74+19742.01</f>
        <v>39464.75</v>
      </c>
      <c r="E666" s="5" t="s">
        <v>214</v>
      </c>
      <c r="F666" s="5" t="s">
        <v>215</v>
      </c>
    </row>
    <row r="667" spans="1:6" x14ac:dyDescent="0.25">
      <c r="A667" s="5">
        <v>15</v>
      </c>
      <c r="B667" s="5" t="s">
        <v>223</v>
      </c>
      <c r="C667" s="5">
        <f>439.8+439.8</f>
        <v>879.6</v>
      </c>
      <c r="D667" s="5">
        <f>+C667</f>
        <v>879.6</v>
      </c>
      <c r="E667" s="5" t="s">
        <v>214</v>
      </c>
      <c r="F667" s="5" t="s">
        <v>215</v>
      </c>
    </row>
    <row r="668" spans="1:6" x14ac:dyDescent="0.25">
      <c r="A668" s="5">
        <v>15</v>
      </c>
      <c r="B668" s="5" t="s">
        <v>224</v>
      </c>
      <c r="C668" s="5">
        <f>326.1+326.1</f>
        <v>652.20000000000005</v>
      </c>
      <c r="D668" s="5">
        <f t="shared" ref="D668:D674" si="58">+C668</f>
        <v>652.20000000000005</v>
      </c>
      <c r="E668" s="5" t="s">
        <v>214</v>
      </c>
      <c r="F668" s="5" t="s">
        <v>215</v>
      </c>
    </row>
    <row r="669" spans="1:6" x14ac:dyDescent="0.25">
      <c r="A669" s="5">
        <v>15</v>
      </c>
      <c r="B669" s="5" t="s">
        <v>225</v>
      </c>
      <c r="C669" s="5">
        <f>2662.8+2662.8</f>
        <v>5325.6</v>
      </c>
      <c r="D669" s="5">
        <f t="shared" si="58"/>
        <v>5325.6</v>
      </c>
      <c r="E669" s="5" t="s">
        <v>214</v>
      </c>
      <c r="F669" s="5" t="s">
        <v>215</v>
      </c>
    </row>
    <row r="670" spans="1:6" x14ac:dyDescent="0.25">
      <c r="A670" s="5">
        <v>15</v>
      </c>
      <c r="B670" s="5" t="s">
        <v>226</v>
      </c>
      <c r="C670" s="5">
        <f>663.12+663.12</f>
        <v>1326.24</v>
      </c>
      <c r="D670" s="5">
        <f t="shared" si="58"/>
        <v>1326.24</v>
      </c>
      <c r="E670" s="5" t="s">
        <v>214</v>
      </c>
      <c r="F670" s="5" t="s">
        <v>215</v>
      </c>
    </row>
    <row r="671" spans="1:6" x14ac:dyDescent="0.25">
      <c r="A671" s="5">
        <v>15</v>
      </c>
      <c r="B671" s="5" t="s">
        <v>227</v>
      </c>
      <c r="C671" s="5">
        <f>3065.88+3065.88</f>
        <v>6131.76</v>
      </c>
      <c r="D671" s="5">
        <f>2734.18+2736.86</f>
        <v>5471.04</v>
      </c>
      <c r="E671" s="5" t="s">
        <v>214</v>
      </c>
      <c r="F671" s="5" t="s">
        <v>215</v>
      </c>
    </row>
    <row r="672" spans="1:6" x14ac:dyDescent="0.25">
      <c r="A672" s="5">
        <v>15</v>
      </c>
      <c r="B672" s="5" t="s">
        <v>228</v>
      </c>
      <c r="C672" s="5">
        <f>539.7+539.7</f>
        <v>1079.4000000000001</v>
      </c>
      <c r="D672" s="5">
        <f t="shared" si="58"/>
        <v>1079.4000000000001</v>
      </c>
      <c r="E672" s="5" t="s">
        <v>214</v>
      </c>
      <c r="F672" s="5" t="s">
        <v>215</v>
      </c>
    </row>
    <row r="673" spans="1:6" x14ac:dyDescent="0.25">
      <c r="A673" s="5">
        <v>15</v>
      </c>
      <c r="B673" s="5" t="s">
        <v>229</v>
      </c>
      <c r="C673" s="5">
        <f>187.2+187.2</f>
        <v>374.4</v>
      </c>
      <c r="D673" s="5">
        <f>166.95+167.11</f>
        <v>334.06</v>
      </c>
      <c r="E673" s="5" t="s">
        <v>214</v>
      </c>
      <c r="F673" s="5" t="s">
        <v>215</v>
      </c>
    </row>
    <row r="674" spans="1:6" s="5" customFormat="1" x14ac:dyDescent="0.25">
      <c r="A674" s="5">
        <v>15</v>
      </c>
      <c r="B674" s="5" t="s">
        <v>461</v>
      </c>
      <c r="C674" s="5">
        <v>2240.6799999999998</v>
      </c>
      <c r="D674" s="5">
        <f t="shared" si="58"/>
        <v>2240.6799999999998</v>
      </c>
      <c r="E674" s="5" t="s">
        <v>214</v>
      </c>
      <c r="F674" s="5" t="s">
        <v>215</v>
      </c>
    </row>
    <row r="675" spans="1:6" x14ac:dyDescent="0.25">
      <c r="A675" s="5">
        <v>16</v>
      </c>
      <c r="B675" s="5" t="s">
        <v>222</v>
      </c>
      <c r="C675" s="5">
        <f>22115.4+22115.4</f>
        <v>44230.8</v>
      </c>
      <c r="D675" s="5">
        <f>19723.58+19809.77</f>
        <v>39533.350000000006</v>
      </c>
      <c r="E675" s="5" t="s">
        <v>214</v>
      </c>
      <c r="F675" s="5" t="s">
        <v>215</v>
      </c>
    </row>
    <row r="676" spans="1:6" x14ac:dyDescent="0.25">
      <c r="A676" s="5">
        <v>16</v>
      </c>
      <c r="B676" s="5" t="s">
        <v>223</v>
      </c>
      <c r="C676" s="5">
        <f>439.8+439.8</f>
        <v>879.6</v>
      </c>
      <c r="D676" s="5">
        <f>+C676</f>
        <v>879.6</v>
      </c>
      <c r="E676" s="5" t="s">
        <v>214</v>
      </c>
      <c r="F676" s="5" t="s">
        <v>215</v>
      </c>
    </row>
    <row r="677" spans="1:6" x14ac:dyDescent="0.25">
      <c r="A677" s="5">
        <v>16</v>
      </c>
      <c r="B677" s="5" t="s">
        <v>224</v>
      </c>
      <c r="C677" s="5">
        <f>326.1+326.1</f>
        <v>652.20000000000005</v>
      </c>
      <c r="D677" s="5">
        <f t="shared" ref="D677:D683" si="59">+C677</f>
        <v>652.20000000000005</v>
      </c>
      <c r="E677" s="5" t="s">
        <v>214</v>
      </c>
      <c r="F677" s="5" t="s">
        <v>215</v>
      </c>
    </row>
    <row r="678" spans="1:6" x14ac:dyDescent="0.25">
      <c r="A678" s="5">
        <v>16</v>
      </c>
      <c r="B678" s="5" t="s">
        <v>225</v>
      </c>
      <c r="C678" s="5">
        <f>2662.8+2662.8</f>
        <v>5325.6</v>
      </c>
      <c r="D678" s="5">
        <f t="shared" si="59"/>
        <v>5325.6</v>
      </c>
      <c r="E678" s="5" t="s">
        <v>214</v>
      </c>
      <c r="F678" s="5" t="s">
        <v>215</v>
      </c>
    </row>
    <row r="679" spans="1:6" x14ac:dyDescent="0.25">
      <c r="A679" s="5">
        <v>16</v>
      </c>
      <c r="B679" s="5" t="s">
        <v>226</v>
      </c>
      <c r="C679" s="5">
        <f>663.12+663.12</f>
        <v>1326.24</v>
      </c>
      <c r="D679" s="5">
        <f t="shared" si="59"/>
        <v>1326.24</v>
      </c>
      <c r="E679" s="5" t="s">
        <v>214</v>
      </c>
      <c r="F679" s="5" t="s">
        <v>215</v>
      </c>
    </row>
    <row r="680" spans="1:6" x14ac:dyDescent="0.25">
      <c r="A680" s="5">
        <v>16</v>
      </c>
      <c r="B680" s="5" t="s">
        <v>227</v>
      </c>
      <c r="C680" s="5">
        <f>9065.88+9065.85</f>
        <v>18131.73</v>
      </c>
      <c r="D680" s="5">
        <f>8085.39+8120.69</f>
        <v>16206.08</v>
      </c>
      <c r="E680" s="5" t="s">
        <v>214</v>
      </c>
      <c r="F680" s="5" t="s">
        <v>215</v>
      </c>
    </row>
    <row r="681" spans="1:6" x14ac:dyDescent="0.25">
      <c r="A681" s="5">
        <v>16</v>
      </c>
      <c r="B681" s="5" t="s">
        <v>228</v>
      </c>
      <c r="C681" s="5">
        <f>539.7+539.7</f>
        <v>1079.4000000000001</v>
      </c>
      <c r="D681" s="5">
        <f t="shared" si="59"/>
        <v>1079.4000000000001</v>
      </c>
      <c r="E681" s="5" t="s">
        <v>214</v>
      </c>
      <c r="F681" s="5" t="s">
        <v>215</v>
      </c>
    </row>
    <row r="682" spans="1:6" x14ac:dyDescent="0.25">
      <c r="A682" s="5">
        <v>16</v>
      </c>
      <c r="B682" s="5" t="s">
        <v>229</v>
      </c>
      <c r="C682" s="5">
        <f>187.2+187.2</f>
        <v>374.4</v>
      </c>
      <c r="D682" s="5">
        <f>166.95+167.68</f>
        <v>334.63</v>
      </c>
      <c r="E682" s="5" t="s">
        <v>214</v>
      </c>
      <c r="F682" s="5" t="s">
        <v>215</v>
      </c>
    </row>
    <row r="683" spans="1:6" s="5" customFormat="1" x14ac:dyDescent="0.25">
      <c r="A683" s="5">
        <v>16</v>
      </c>
      <c r="B683" s="5" t="s">
        <v>461</v>
      </c>
      <c r="C683" s="5">
        <v>2240.6799999999998</v>
      </c>
      <c r="D683" s="5">
        <f t="shared" si="59"/>
        <v>2240.6799999999998</v>
      </c>
      <c r="E683" s="5" t="s">
        <v>214</v>
      </c>
      <c r="F683" s="5" t="s">
        <v>215</v>
      </c>
    </row>
    <row r="684" spans="1:6" x14ac:dyDescent="0.25">
      <c r="A684" s="5">
        <v>17</v>
      </c>
      <c r="B684" s="5" t="s">
        <v>222</v>
      </c>
      <c r="C684" s="5">
        <v>359.15</v>
      </c>
      <c r="D684" s="5">
        <v>359.15</v>
      </c>
      <c r="E684" s="5" t="s">
        <v>214</v>
      </c>
      <c r="F684" s="5" t="s">
        <v>215</v>
      </c>
    </row>
    <row r="685" spans="1:6" x14ac:dyDescent="0.25">
      <c r="A685" s="5">
        <v>17</v>
      </c>
      <c r="B685" s="5" t="s">
        <v>223</v>
      </c>
      <c r="C685" s="5">
        <v>0</v>
      </c>
      <c r="D685" s="5">
        <v>0</v>
      </c>
      <c r="E685" s="5" t="s">
        <v>214</v>
      </c>
      <c r="F685" s="5" t="s">
        <v>215</v>
      </c>
    </row>
    <row r="686" spans="1:6" x14ac:dyDescent="0.25">
      <c r="A686" s="5">
        <v>17</v>
      </c>
      <c r="B686" s="5" t="s">
        <v>224</v>
      </c>
      <c r="C686" s="5">
        <v>0</v>
      </c>
      <c r="D686" s="5">
        <v>0</v>
      </c>
      <c r="E686" s="5" t="s">
        <v>214</v>
      </c>
      <c r="F686" s="5" t="s">
        <v>215</v>
      </c>
    </row>
    <row r="687" spans="1:6" x14ac:dyDescent="0.25">
      <c r="A687" s="5">
        <v>17</v>
      </c>
      <c r="B687" s="5" t="s">
        <v>225</v>
      </c>
      <c r="C687" s="5">
        <v>0</v>
      </c>
      <c r="D687" s="5">
        <v>0</v>
      </c>
      <c r="E687" s="5" t="s">
        <v>214</v>
      </c>
      <c r="F687" s="5" t="s">
        <v>215</v>
      </c>
    </row>
    <row r="688" spans="1:6" x14ac:dyDescent="0.25">
      <c r="A688" s="5">
        <v>17</v>
      </c>
      <c r="B688" s="5" t="s">
        <v>226</v>
      </c>
      <c r="C688" s="5">
        <v>0</v>
      </c>
      <c r="D688" s="5">
        <v>0</v>
      </c>
      <c r="E688" s="5" t="s">
        <v>214</v>
      </c>
      <c r="F688" s="5" t="s">
        <v>215</v>
      </c>
    </row>
    <row r="689" spans="1:6" x14ac:dyDescent="0.25">
      <c r="A689" s="5">
        <v>17</v>
      </c>
      <c r="B689" s="5" t="s">
        <v>227</v>
      </c>
      <c r="C689" s="5">
        <v>0</v>
      </c>
      <c r="D689" s="5">
        <v>0</v>
      </c>
      <c r="E689" s="5" t="s">
        <v>214</v>
      </c>
      <c r="F689" s="5" t="s">
        <v>215</v>
      </c>
    </row>
    <row r="690" spans="1:6" x14ac:dyDescent="0.25">
      <c r="A690" s="5">
        <v>17</v>
      </c>
      <c r="B690" s="5" t="s">
        <v>228</v>
      </c>
      <c r="C690" s="5">
        <v>0</v>
      </c>
      <c r="D690" s="5">
        <v>0</v>
      </c>
      <c r="E690" s="5" t="s">
        <v>214</v>
      </c>
      <c r="F690" s="5" t="s">
        <v>215</v>
      </c>
    </row>
    <row r="691" spans="1:6" x14ac:dyDescent="0.25">
      <c r="A691" s="5">
        <v>17</v>
      </c>
      <c r="B691" s="5" t="s">
        <v>229</v>
      </c>
      <c r="C691" s="5">
        <v>0</v>
      </c>
      <c r="D691" s="5">
        <v>0</v>
      </c>
      <c r="E691" s="5" t="s">
        <v>214</v>
      </c>
      <c r="F691" s="5" t="s">
        <v>215</v>
      </c>
    </row>
    <row r="692" spans="1:6" x14ac:dyDescent="0.25">
      <c r="A692" s="5">
        <v>18</v>
      </c>
      <c r="B692" s="5" t="s">
        <v>222</v>
      </c>
      <c r="C692" s="5">
        <f>101978.4+101978.4</f>
        <v>203956.8</v>
      </c>
      <c r="D692" s="5">
        <f>80001.72+80001.72</f>
        <v>160003.44</v>
      </c>
      <c r="E692" s="5" t="s">
        <v>214</v>
      </c>
      <c r="F692" s="5" t="s">
        <v>215</v>
      </c>
    </row>
    <row r="693" spans="1:6" x14ac:dyDescent="0.25">
      <c r="A693" s="5">
        <v>18</v>
      </c>
      <c r="B693" s="5" t="s">
        <v>223</v>
      </c>
      <c r="C693" s="5">
        <v>0</v>
      </c>
      <c r="D693" s="5">
        <f>+C693</f>
        <v>0</v>
      </c>
      <c r="E693" s="5" t="s">
        <v>214</v>
      </c>
      <c r="F693" s="5" t="s">
        <v>215</v>
      </c>
    </row>
    <row r="694" spans="1:6" x14ac:dyDescent="0.25">
      <c r="A694" s="5">
        <v>18</v>
      </c>
      <c r="B694" s="5" t="s">
        <v>224</v>
      </c>
      <c r="C694" s="5">
        <v>0</v>
      </c>
      <c r="D694" s="5">
        <f t="shared" ref="D694:D696" si="60">+C694</f>
        <v>0</v>
      </c>
      <c r="E694" s="5" t="s">
        <v>214</v>
      </c>
      <c r="F694" s="5" t="s">
        <v>215</v>
      </c>
    </row>
    <row r="695" spans="1:6" x14ac:dyDescent="0.25">
      <c r="A695" s="5">
        <v>18</v>
      </c>
      <c r="B695" s="5" t="s">
        <v>225</v>
      </c>
      <c r="C695" s="5">
        <v>0</v>
      </c>
      <c r="D695" s="5">
        <f t="shared" si="60"/>
        <v>0</v>
      </c>
      <c r="E695" s="5" t="s">
        <v>214</v>
      </c>
      <c r="F695" s="5" t="s">
        <v>215</v>
      </c>
    </row>
    <row r="696" spans="1:6" x14ac:dyDescent="0.25">
      <c r="A696" s="5">
        <v>18</v>
      </c>
      <c r="B696" s="5" t="s">
        <v>226</v>
      </c>
      <c r="C696" s="5">
        <v>0</v>
      </c>
      <c r="D696" s="5">
        <f t="shared" si="60"/>
        <v>0</v>
      </c>
      <c r="E696" s="5" t="s">
        <v>214</v>
      </c>
      <c r="F696" s="5" t="s">
        <v>215</v>
      </c>
    </row>
    <row r="697" spans="1:6" x14ac:dyDescent="0.25">
      <c r="A697" s="5">
        <v>18</v>
      </c>
      <c r="B697" s="5" t="s">
        <v>227</v>
      </c>
      <c r="C697" s="5">
        <v>0</v>
      </c>
      <c r="D697" s="5">
        <v>0</v>
      </c>
      <c r="E697" s="5" t="s">
        <v>214</v>
      </c>
      <c r="F697" s="5" t="s">
        <v>215</v>
      </c>
    </row>
    <row r="698" spans="1:6" x14ac:dyDescent="0.25">
      <c r="A698" s="5">
        <v>18</v>
      </c>
      <c r="B698" s="5" t="s">
        <v>228</v>
      </c>
      <c r="C698" s="5">
        <v>0</v>
      </c>
      <c r="D698" s="5">
        <v>0</v>
      </c>
      <c r="E698" s="5" t="s">
        <v>214</v>
      </c>
      <c r="F698" s="5" t="s">
        <v>215</v>
      </c>
    </row>
    <row r="699" spans="1:6" x14ac:dyDescent="0.25">
      <c r="A699" s="5">
        <v>18</v>
      </c>
      <c r="B699" s="5" t="s">
        <v>229</v>
      </c>
      <c r="C699" s="5">
        <v>0</v>
      </c>
      <c r="D699" s="5">
        <v>0</v>
      </c>
      <c r="E699" s="5" t="s">
        <v>214</v>
      </c>
      <c r="F699" s="5" t="s">
        <v>215</v>
      </c>
    </row>
    <row r="700" spans="1:6" x14ac:dyDescent="0.25">
      <c r="A700" s="5">
        <v>19</v>
      </c>
      <c r="B700" s="5" t="s">
        <v>222</v>
      </c>
      <c r="C700" s="5">
        <f>20308.99+14006.2</f>
        <v>34315.19</v>
      </c>
      <c r="D700" s="5">
        <f>18781.39+13189.22</f>
        <v>31970.61</v>
      </c>
      <c r="E700" s="5" t="s">
        <v>214</v>
      </c>
      <c r="F700" s="5" t="s">
        <v>215</v>
      </c>
    </row>
    <row r="701" spans="1:6" x14ac:dyDescent="0.25">
      <c r="A701" s="5">
        <v>19</v>
      </c>
      <c r="B701" s="5" t="s">
        <v>223</v>
      </c>
      <c r="C701" s="5">
        <f>425.15+293.2</f>
        <v>718.34999999999991</v>
      </c>
      <c r="D701" s="5">
        <f>+C701</f>
        <v>718.34999999999991</v>
      </c>
      <c r="E701" s="5" t="s">
        <v>214</v>
      </c>
      <c r="F701" s="5" t="s">
        <v>215</v>
      </c>
    </row>
    <row r="702" spans="1:6" x14ac:dyDescent="0.25">
      <c r="A702" s="5">
        <v>19</v>
      </c>
      <c r="B702" s="5" t="s">
        <v>224</v>
      </c>
      <c r="C702" s="5">
        <f>315.23+217.4</f>
        <v>532.63</v>
      </c>
      <c r="D702" s="5">
        <f t="shared" ref="D702:D706" si="61">+C702</f>
        <v>532.63</v>
      </c>
      <c r="E702" s="5" t="s">
        <v>214</v>
      </c>
      <c r="F702" s="5" t="s">
        <v>215</v>
      </c>
    </row>
    <row r="703" spans="1:6" x14ac:dyDescent="0.25">
      <c r="A703" s="5">
        <v>19</v>
      </c>
      <c r="B703" s="5" t="s">
        <v>225</v>
      </c>
      <c r="C703" s="5">
        <f>2574.04+1775.2</f>
        <v>4349.24</v>
      </c>
      <c r="D703" s="5">
        <f t="shared" si="61"/>
        <v>4349.24</v>
      </c>
      <c r="E703" s="5" t="s">
        <v>214</v>
      </c>
      <c r="F703" s="5" t="s">
        <v>215</v>
      </c>
    </row>
    <row r="704" spans="1:6" x14ac:dyDescent="0.25">
      <c r="A704" s="5">
        <v>19</v>
      </c>
      <c r="B704" s="5" t="s">
        <v>226</v>
      </c>
      <c r="C704" s="5">
        <f>641.01+442.08</f>
        <v>1083.0899999999999</v>
      </c>
      <c r="D704" s="5">
        <f t="shared" si="61"/>
        <v>1083.0899999999999</v>
      </c>
      <c r="E704" s="5" t="s">
        <v>214</v>
      </c>
      <c r="F704" s="5" t="s">
        <v>215</v>
      </c>
    </row>
    <row r="705" spans="1:6" x14ac:dyDescent="0.25">
      <c r="A705" s="5">
        <v>19</v>
      </c>
      <c r="B705" s="5" t="s">
        <v>227</v>
      </c>
      <c r="C705" s="5">
        <v>0</v>
      </c>
      <c r="D705" s="5">
        <v>0</v>
      </c>
      <c r="E705" s="5" t="s">
        <v>214</v>
      </c>
      <c r="F705" s="5" t="s">
        <v>215</v>
      </c>
    </row>
    <row r="706" spans="1:6" x14ac:dyDescent="0.25">
      <c r="A706" s="5">
        <v>19</v>
      </c>
      <c r="B706" s="5" t="s">
        <v>228</v>
      </c>
      <c r="C706" s="5">
        <f>521.71+359.8</f>
        <v>881.51</v>
      </c>
      <c r="D706" s="5">
        <f t="shared" si="61"/>
        <v>881.51</v>
      </c>
      <c r="E706" s="5" t="s">
        <v>214</v>
      </c>
      <c r="F706" s="5" t="s">
        <v>215</v>
      </c>
    </row>
    <row r="707" spans="1:6" x14ac:dyDescent="0.25">
      <c r="A707" s="5">
        <v>19</v>
      </c>
      <c r="B707" s="5" t="s">
        <v>229</v>
      </c>
      <c r="C707" s="5">
        <f>180.96+124.8</f>
        <v>305.76</v>
      </c>
      <c r="D707" s="5">
        <f>167.35+117.52</f>
        <v>284.87</v>
      </c>
      <c r="E707" s="5" t="s">
        <v>214</v>
      </c>
      <c r="F707" s="5" t="s">
        <v>215</v>
      </c>
    </row>
    <row r="708" spans="1:6" x14ac:dyDescent="0.25">
      <c r="A708" s="5">
        <v>20</v>
      </c>
      <c r="B708" s="5" t="s">
        <v>222</v>
      </c>
      <c r="C708" s="5">
        <f>19521.42+19521.42</f>
        <v>39042.839999999997</v>
      </c>
      <c r="D708" s="5">
        <f>17977.61+18116.3</f>
        <v>36093.910000000003</v>
      </c>
      <c r="E708" s="5" t="s">
        <v>214</v>
      </c>
      <c r="F708" s="5" t="s">
        <v>215</v>
      </c>
    </row>
    <row r="709" spans="1:6" x14ac:dyDescent="0.25">
      <c r="A709" s="5">
        <v>20</v>
      </c>
      <c r="B709" s="5" t="s">
        <v>223</v>
      </c>
      <c r="C709" s="5">
        <f>439.8+439.8</f>
        <v>879.6</v>
      </c>
      <c r="D709" s="5">
        <f>+C709</f>
        <v>879.6</v>
      </c>
      <c r="E709" s="5" t="s">
        <v>214</v>
      </c>
      <c r="F709" s="5" t="s">
        <v>215</v>
      </c>
    </row>
    <row r="710" spans="1:6" x14ac:dyDescent="0.25">
      <c r="A710" s="5">
        <v>20</v>
      </c>
      <c r="B710" s="5" t="s">
        <v>224</v>
      </c>
      <c r="C710" s="5">
        <f>326.1+326.1</f>
        <v>652.20000000000005</v>
      </c>
      <c r="D710" s="5">
        <f t="shared" ref="D710:D714" si="62">+C710</f>
        <v>652.20000000000005</v>
      </c>
      <c r="E710" s="5" t="s">
        <v>214</v>
      </c>
      <c r="F710" s="5" t="s">
        <v>215</v>
      </c>
    </row>
    <row r="711" spans="1:6" x14ac:dyDescent="0.25">
      <c r="A711" s="5">
        <v>20</v>
      </c>
      <c r="B711" s="5" t="s">
        <v>225</v>
      </c>
      <c r="C711" s="5">
        <f>2662.8+2662.8</f>
        <v>5325.6</v>
      </c>
      <c r="D711" s="5">
        <f t="shared" si="62"/>
        <v>5325.6</v>
      </c>
      <c r="E711" s="5" t="s">
        <v>214</v>
      </c>
      <c r="F711" s="5" t="s">
        <v>215</v>
      </c>
    </row>
    <row r="712" spans="1:6" x14ac:dyDescent="0.25">
      <c r="A712" s="5">
        <v>20</v>
      </c>
      <c r="B712" s="5" t="s">
        <v>226</v>
      </c>
      <c r="C712" s="5">
        <f>663.12+663.12</f>
        <v>1326.24</v>
      </c>
      <c r="D712" s="5">
        <f t="shared" si="62"/>
        <v>1326.24</v>
      </c>
      <c r="E712" s="5" t="s">
        <v>214</v>
      </c>
      <c r="F712" s="5" t="s">
        <v>215</v>
      </c>
    </row>
    <row r="713" spans="1:6" x14ac:dyDescent="0.25">
      <c r="A713" s="5">
        <v>20</v>
      </c>
      <c r="B713" s="5" t="s">
        <v>227</v>
      </c>
      <c r="C713" s="5">
        <f>5659.86+5659.86</f>
        <v>11319.72</v>
      </c>
      <c r="D713" s="5">
        <f>5212.26+5252.47</f>
        <v>10464.73</v>
      </c>
      <c r="E713" s="5" t="s">
        <v>214</v>
      </c>
      <c r="F713" s="5" t="s">
        <v>215</v>
      </c>
    </row>
    <row r="714" spans="1:6" x14ac:dyDescent="0.25">
      <c r="A714" s="5">
        <v>20</v>
      </c>
      <c r="B714" s="5" t="s">
        <v>228</v>
      </c>
      <c r="C714" s="5">
        <f>539.7+539.7</f>
        <v>1079.4000000000001</v>
      </c>
      <c r="D714" s="5">
        <f t="shared" si="62"/>
        <v>1079.4000000000001</v>
      </c>
      <c r="E714" s="5" t="s">
        <v>214</v>
      </c>
      <c r="F714" s="5" t="s">
        <v>215</v>
      </c>
    </row>
    <row r="715" spans="1:6" x14ac:dyDescent="0.25">
      <c r="A715" s="5">
        <v>20</v>
      </c>
      <c r="B715" s="5" t="s">
        <v>229</v>
      </c>
      <c r="C715" s="5">
        <f>187.2+187.2</f>
        <v>374.4</v>
      </c>
      <c r="D715" s="5">
        <f>172.4+173.73</f>
        <v>346.13</v>
      </c>
      <c r="E715" s="5" t="s">
        <v>214</v>
      </c>
      <c r="F715" s="5" t="s">
        <v>215</v>
      </c>
    </row>
    <row r="716" spans="1:6" x14ac:dyDescent="0.25">
      <c r="A716" s="5">
        <v>21</v>
      </c>
      <c r="B716" s="5" t="s">
        <v>222</v>
      </c>
      <c r="C716" s="5">
        <f>22115.4+22857.5</f>
        <v>44972.9</v>
      </c>
      <c r="D716" s="5">
        <f>19284.15+19832.52</f>
        <v>39116.67</v>
      </c>
      <c r="E716" s="5" t="s">
        <v>214</v>
      </c>
      <c r="F716" s="5" t="s">
        <v>215</v>
      </c>
    </row>
    <row r="717" spans="1:6" x14ac:dyDescent="0.25">
      <c r="A717" s="5">
        <v>21</v>
      </c>
      <c r="B717" s="5" t="s">
        <v>223</v>
      </c>
      <c r="C717" s="5">
        <f>439.8+439.8</f>
        <v>879.6</v>
      </c>
      <c r="D717" s="5">
        <f>+C717</f>
        <v>879.6</v>
      </c>
      <c r="E717" s="5" t="s">
        <v>214</v>
      </c>
      <c r="F717" s="5" t="s">
        <v>215</v>
      </c>
    </row>
    <row r="718" spans="1:6" x14ac:dyDescent="0.25">
      <c r="A718" s="5">
        <v>21</v>
      </c>
      <c r="B718" s="5" t="s">
        <v>224</v>
      </c>
      <c r="C718" s="5">
        <f>326.1+326.1</f>
        <v>652.20000000000005</v>
      </c>
      <c r="D718" s="5">
        <f t="shared" ref="D718:D722" si="63">+C718</f>
        <v>652.20000000000005</v>
      </c>
      <c r="E718" s="5" t="s">
        <v>214</v>
      </c>
      <c r="F718" s="5" t="s">
        <v>215</v>
      </c>
    </row>
    <row r="719" spans="1:6" x14ac:dyDescent="0.25">
      <c r="A719" s="5">
        <v>21</v>
      </c>
      <c r="B719" s="5" t="s">
        <v>225</v>
      </c>
      <c r="C719" s="5">
        <f>2662.8+2662.8</f>
        <v>5325.6</v>
      </c>
      <c r="D719" s="5">
        <f t="shared" si="63"/>
        <v>5325.6</v>
      </c>
      <c r="E719" s="5" t="s">
        <v>214</v>
      </c>
      <c r="F719" s="5" t="s">
        <v>215</v>
      </c>
    </row>
    <row r="720" spans="1:6" x14ac:dyDescent="0.25">
      <c r="A720" s="5">
        <v>21</v>
      </c>
      <c r="B720" s="5" t="s">
        <v>226</v>
      </c>
      <c r="C720" s="5">
        <f>663.12+663.12</f>
        <v>1326.24</v>
      </c>
      <c r="D720" s="5">
        <f t="shared" si="63"/>
        <v>1326.24</v>
      </c>
      <c r="E720" s="5" t="s">
        <v>214</v>
      </c>
      <c r="F720" s="5" t="s">
        <v>215</v>
      </c>
    </row>
    <row r="721" spans="1:6" x14ac:dyDescent="0.25">
      <c r="A721" s="5">
        <v>21</v>
      </c>
      <c r="B721" s="5" t="s">
        <v>227</v>
      </c>
      <c r="C721" s="5">
        <f>3065.88+510.98</f>
        <v>3576.86</v>
      </c>
      <c r="D721" s="5">
        <f>2673.38+443.36</f>
        <v>3116.7400000000002</v>
      </c>
      <c r="E721" s="5" t="s">
        <v>214</v>
      </c>
      <c r="F721" s="5" t="s">
        <v>215</v>
      </c>
    </row>
    <row r="722" spans="1:6" x14ac:dyDescent="0.25">
      <c r="A722" s="5">
        <v>21</v>
      </c>
      <c r="B722" s="5" t="s">
        <v>228</v>
      </c>
      <c r="C722" s="5">
        <f>539.7+539.7</f>
        <v>1079.4000000000001</v>
      </c>
      <c r="D722" s="5">
        <f t="shared" si="63"/>
        <v>1079.4000000000001</v>
      </c>
      <c r="E722" s="5" t="s">
        <v>214</v>
      </c>
      <c r="F722" s="5" t="s">
        <v>215</v>
      </c>
    </row>
    <row r="723" spans="1:6" x14ac:dyDescent="0.25">
      <c r="A723" s="5">
        <v>21</v>
      </c>
      <c r="B723" s="5" t="s">
        <v>229</v>
      </c>
      <c r="C723" s="5">
        <f>187.2+3936.05</f>
        <v>4123.25</v>
      </c>
      <c r="D723" s="5">
        <f>163.23+3415.15</f>
        <v>3578.38</v>
      </c>
      <c r="E723" s="5" t="s">
        <v>214</v>
      </c>
      <c r="F723" s="5" t="s">
        <v>215</v>
      </c>
    </row>
    <row r="724" spans="1:6" x14ac:dyDescent="0.25">
      <c r="A724" s="5">
        <v>22</v>
      </c>
      <c r="B724" s="5" t="s">
        <v>222</v>
      </c>
      <c r="C724" s="5">
        <f>18653.8+18870.71</f>
        <v>37524.509999999995</v>
      </c>
      <c r="D724" s="5">
        <f>17245.57+17583.48</f>
        <v>34829.050000000003</v>
      </c>
      <c r="E724" s="5" t="s">
        <v>214</v>
      </c>
      <c r="F724" s="5" t="s">
        <v>215</v>
      </c>
    </row>
    <row r="725" spans="1:6" x14ac:dyDescent="0.25">
      <c r="A725" s="5">
        <v>22</v>
      </c>
      <c r="B725" s="5" t="s">
        <v>223</v>
      </c>
      <c r="C725" s="5">
        <f>420.26+425.14</f>
        <v>845.4</v>
      </c>
      <c r="D725" s="5">
        <f>+C725</f>
        <v>845.4</v>
      </c>
      <c r="E725" s="5" t="s">
        <v>214</v>
      </c>
      <c r="F725" s="5" t="s">
        <v>215</v>
      </c>
    </row>
    <row r="726" spans="1:6" x14ac:dyDescent="0.25">
      <c r="A726" s="5">
        <v>22</v>
      </c>
      <c r="B726" s="5" t="s">
        <v>224</v>
      </c>
      <c r="C726" s="5">
        <f>311.6+315.23</f>
        <v>626.83000000000004</v>
      </c>
      <c r="D726" s="5">
        <f t="shared" ref="D726:D730" si="64">+C726</f>
        <v>626.83000000000004</v>
      </c>
      <c r="E726" s="5" t="s">
        <v>214</v>
      </c>
      <c r="F726" s="5" t="s">
        <v>215</v>
      </c>
    </row>
    <row r="727" spans="1:6" x14ac:dyDescent="0.25">
      <c r="A727" s="5">
        <v>22</v>
      </c>
      <c r="B727" s="5" t="s">
        <v>225</v>
      </c>
      <c r="C727" s="5">
        <f>2544.46+2574.04</f>
        <v>5118.5</v>
      </c>
      <c r="D727" s="5">
        <f t="shared" si="64"/>
        <v>5118.5</v>
      </c>
      <c r="E727" s="5" t="s">
        <v>214</v>
      </c>
      <c r="F727" s="5" t="s">
        <v>215</v>
      </c>
    </row>
    <row r="728" spans="1:6" x14ac:dyDescent="0.25">
      <c r="A728" s="5">
        <v>22</v>
      </c>
      <c r="B728" s="5" t="s">
        <v>226</v>
      </c>
      <c r="C728" s="5">
        <f>633.64+641.01</f>
        <v>1274.6500000000001</v>
      </c>
      <c r="D728" s="5">
        <f t="shared" si="64"/>
        <v>1274.6500000000001</v>
      </c>
      <c r="E728" s="5" t="s">
        <v>214</v>
      </c>
      <c r="F728" s="5" t="s">
        <v>215</v>
      </c>
    </row>
    <row r="729" spans="1:6" x14ac:dyDescent="0.25">
      <c r="A729" s="5">
        <v>22</v>
      </c>
      <c r="B729" s="5" t="s">
        <v>227</v>
      </c>
      <c r="C729" s="5">
        <f>5408.32+5471.2</f>
        <v>10879.52</v>
      </c>
      <c r="D729" s="5">
        <f>5000.03+5097.99</f>
        <v>10098.02</v>
      </c>
      <c r="E729" s="5" t="s">
        <v>214</v>
      </c>
      <c r="F729" s="5" t="s">
        <v>215</v>
      </c>
    </row>
    <row r="730" spans="1:6" x14ac:dyDescent="0.25">
      <c r="A730" s="5">
        <v>22</v>
      </c>
      <c r="B730" s="5" t="s">
        <v>228</v>
      </c>
      <c r="C730" s="5">
        <f>515.72+521.71</f>
        <v>1037.43</v>
      </c>
      <c r="D730" s="5">
        <f t="shared" si="64"/>
        <v>1037.43</v>
      </c>
      <c r="E730" s="5" t="s">
        <v>214</v>
      </c>
      <c r="F730" s="5" t="s">
        <v>215</v>
      </c>
    </row>
    <row r="731" spans="1:6" x14ac:dyDescent="0.25">
      <c r="A731" s="5">
        <v>22</v>
      </c>
      <c r="B731" s="5" t="s">
        <v>229</v>
      </c>
      <c r="C731" s="5">
        <f>178.88+180.96</f>
        <v>359.84000000000003</v>
      </c>
      <c r="D731" s="5">
        <f>165.38+168.62</f>
        <v>334</v>
      </c>
      <c r="E731" s="5" t="s">
        <v>214</v>
      </c>
      <c r="F731" s="5" t="s">
        <v>215</v>
      </c>
    </row>
    <row r="732" spans="1:6" x14ac:dyDescent="0.25">
      <c r="A732" s="5">
        <v>23</v>
      </c>
      <c r="B732" s="5" t="s">
        <v>222</v>
      </c>
      <c r="C732" s="5">
        <v>6536.23</v>
      </c>
      <c r="D732" s="5">
        <v>5902.68</v>
      </c>
      <c r="E732" s="5" t="s">
        <v>214</v>
      </c>
      <c r="F732" s="5" t="s">
        <v>215</v>
      </c>
    </row>
    <row r="733" spans="1:6" x14ac:dyDescent="0.25">
      <c r="A733" s="5">
        <v>23</v>
      </c>
      <c r="B733" s="5" t="s">
        <v>223</v>
      </c>
      <c r="C733" s="5">
        <v>136.83000000000001</v>
      </c>
      <c r="D733" s="5">
        <f>+C733</f>
        <v>136.83000000000001</v>
      </c>
      <c r="E733" s="5" t="s">
        <v>214</v>
      </c>
      <c r="F733" s="5" t="s">
        <v>215</v>
      </c>
    </row>
    <row r="734" spans="1:6" x14ac:dyDescent="0.25">
      <c r="A734" s="5">
        <v>23</v>
      </c>
      <c r="B734" s="5" t="s">
        <v>224</v>
      </c>
      <c r="C734" s="5">
        <v>101.45</v>
      </c>
      <c r="D734" s="5">
        <f t="shared" ref="D734:D738" si="65">+C734</f>
        <v>101.45</v>
      </c>
      <c r="E734" s="5" t="s">
        <v>214</v>
      </c>
      <c r="F734" s="5" t="s">
        <v>215</v>
      </c>
    </row>
    <row r="735" spans="1:6" x14ac:dyDescent="0.25">
      <c r="A735" s="5">
        <v>23</v>
      </c>
      <c r="B735" s="5" t="s">
        <v>225</v>
      </c>
      <c r="C735" s="5">
        <v>828.43</v>
      </c>
      <c r="D735" s="5">
        <f t="shared" si="65"/>
        <v>828.43</v>
      </c>
      <c r="E735" s="5" t="s">
        <v>214</v>
      </c>
      <c r="F735" s="5" t="s">
        <v>215</v>
      </c>
    </row>
    <row r="736" spans="1:6" x14ac:dyDescent="0.25">
      <c r="A736" s="5">
        <v>23</v>
      </c>
      <c r="B736" s="5" t="s">
        <v>226</v>
      </c>
      <c r="C736" s="5">
        <v>206.3</v>
      </c>
      <c r="D736" s="5">
        <f t="shared" si="65"/>
        <v>206.3</v>
      </c>
      <c r="E736" s="5" t="s">
        <v>214</v>
      </c>
      <c r="F736" s="5" t="s">
        <v>215</v>
      </c>
    </row>
    <row r="737" spans="1:6" x14ac:dyDescent="0.25">
      <c r="A737" s="5">
        <v>23</v>
      </c>
      <c r="B737" s="5" t="s">
        <v>227</v>
      </c>
      <c r="C737" s="5">
        <v>4633.88</v>
      </c>
      <c r="D737" s="5">
        <v>4184.72</v>
      </c>
      <c r="E737" s="5" t="s">
        <v>214</v>
      </c>
      <c r="F737" s="5" t="s">
        <v>215</v>
      </c>
    </row>
    <row r="738" spans="1:6" x14ac:dyDescent="0.25">
      <c r="A738" s="5">
        <v>23</v>
      </c>
      <c r="B738" s="5" t="s">
        <v>228</v>
      </c>
      <c r="C738" s="5">
        <v>167.91</v>
      </c>
      <c r="D738" s="5">
        <f t="shared" si="65"/>
        <v>167.91</v>
      </c>
      <c r="E738" s="5" t="s">
        <v>214</v>
      </c>
      <c r="F738" s="5" t="s">
        <v>215</v>
      </c>
    </row>
    <row r="739" spans="1:6" x14ac:dyDescent="0.25">
      <c r="A739" s="5">
        <v>23</v>
      </c>
      <c r="B739" s="5" t="s">
        <v>229</v>
      </c>
      <c r="C739" s="5">
        <v>58.24</v>
      </c>
      <c r="D739" s="5">
        <v>52.59</v>
      </c>
      <c r="E739" s="5" t="s">
        <v>214</v>
      </c>
      <c r="F739" s="5" t="s">
        <v>215</v>
      </c>
    </row>
    <row r="740" spans="1:6" x14ac:dyDescent="0.25">
      <c r="A740" s="5">
        <v>24</v>
      </c>
      <c r="B740" s="5" t="s">
        <v>222</v>
      </c>
      <c r="C740" s="5">
        <f>101978.4+101978.4</f>
        <v>203956.8</v>
      </c>
      <c r="D740" s="5">
        <f>80001.72+80001.72</f>
        <v>160003.44</v>
      </c>
      <c r="E740" s="5" t="s">
        <v>214</v>
      </c>
      <c r="F740" s="5" t="s">
        <v>215</v>
      </c>
    </row>
    <row r="741" spans="1:6" x14ac:dyDescent="0.25">
      <c r="A741" s="5">
        <v>24</v>
      </c>
      <c r="B741" s="5" t="s">
        <v>223</v>
      </c>
      <c r="C741" s="5">
        <v>0</v>
      </c>
      <c r="D741" s="5">
        <f>+C741</f>
        <v>0</v>
      </c>
      <c r="E741" s="5" t="s">
        <v>214</v>
      </c>
      <c r="F741" s="5" t="s">
        <v>215</v>
      </c>
    </row>
    <row r="742" spans="1:6" x14ac:dyDescent="0.25">
      <c r="A742" s="5">
        <v>24</v>
      </c>
      <c r="B742" s="5" t="s">
        <v>224</v>
      </c>
      <c r="C742" s="5">
        <v>0</v>
      </c>
      <c r="D742" s="5">
        <f t="shared" ref="D742:D744" si="66">+C742</f>
        <v>0</v>
      </c>
      <c r="E742" s="5" t="s">
        <v>214</v>
      </c>
      <c r="F742" s="5" t="s">
        <v>215</v>
      </c>
    </row>
    <row r="743" spans="1:6" x14ac:dyDescent="0.25">
      <c r="A743" s="5">
        <v>24</v>
      </c>
      <c r="B743" s="5" t="s">
        <v>225</v>
      </c>
      <c r="C743" s="5">
        <v>0</v>
      </c>
      <c r="D743" s="5">
        <f t="shared" si="66"/>
        <v>0</v>
      </c>
      <c r="E743" s="5" t="s">
        <v>214</v>
      </c>
      <c r="F743" s="5" t="s">
        <v>215</v>
      </c>
    </row>
    <row r="744" spans="1:6" x14ac:dyDescent="0.25">
      <c r="A744" s="5">
        <v>24</v>
      </c>
      <c r="B744" s="5" t="s">
        <v>226</v>
      </c>
      <c r="C744" s="5">
        <v>0</v>
      </c>
      <c r="D744" s="5">
        <f t="shared" si="66"/>
        <v>0</v>
      </c>
      <c r="E744" s="5" t="s">
        <v>214</v>
      </c>
      <c r="F744" s="5" t="s">
        <v>215</v>
      </c>
    </row>
    <row r="745" spans="1:6" x14ac:dyDescent="0.25">
      <c r="A745" s="5">
        <v>24</v>
      </c>
      <c r="B745" s="5" t="s">
        <v>227</v>
      </c>
      <c r="C745" s="5">
        <v>0</v>
      </c>
      <c r="D745" s="5">
        <v>0</v>
      </c>
      <c r="E745" s="5" t="s">
        <v>214</v>
      </c>
      <c r="F745" s="5" t="s">
        <v>215</v>
      </c>
    </row>
    <row r="746" spans="1:6" x14ac:dyDescent="0.25">
      <c r="A746" s="5">
        <v>24</v>
      </c>
      <c r="B746" s="5" t="s">
        <v>228</v>
      </c>
      <c r="C746" s="5">
        <v>0</v>
      </c>
      <c r="D746" s="5">
        <v>0</v>
      </c>
      <c r="E746" s="5" t="s">
        <v>214</v>
      </c>
      <c r="F746" s="5" t="s">
        <v>215</v>
      </c>
    </row>
    <row r="747" spans="1:6" x14ac:dyDescent="0.25">
      <c r="A747" s="5">
        <v>24</v>
      </c>
      <c r="B747" s="5" t="s">
        <v>229</v>
      </c>
      <c r="C747" s="5">
        <v>0</v>
      </c>
      <c r="D747" s="5">
        <v>0</v>
      </c>
      <c r="E747" s="5" t="s">
        <v>214</v>
      </c>
      <c r="F747" s="5" t="s">
        <v>215</v>
      </c>
    </row>
    <row r="748" spans="1:6" x14ac:dyDescent="0.25">
      <c r="A748" s="5">
        <v>25</v>
      </c>
      <c r="B748" s="5" t="s">
        <v>222</v>
      </c>
      <c r="C748" s="5">
        <f>21370.92+21370.92</f>
        <v>42741.84</v>
      </c>
      <c r="D748" s="5">
        <f>19635.8+19635.8</f>
        <v>39271.599999999999</v>
      </c>
      <c r="E748" s="5" t="s">
        <v>214</v>
      </c>
      <c r="F748" s="5" t="s">
        <v>215</v>
      </c>
    </row>
    <row r="749" spans="1:6" x14ac:dyDescent="0.25">
      <c r="A749" s="5">
        <v>25</v>
      </c>
      <c r="B749" s="5" t="s">
        <v>223</v>
      </c>
      <c r="C749" s="5">
        <f>439.8+439.8</f>
        <v>879.6</v>
      </c>
      <c r="D749" s="5">
        <f>+C749</f>
        <v>879.6</v>
      </c>
      <c r="E749" s="5" t="s">
        <v>214</v>
      </c>
      <c r="F749" s="5" t="s">
        <v>215</v>
      </c>
    </row>
    <row r="750" spans="1:6" x14ac:dyDescent="0.25">
      <c r="A750" s="5">
        <v>25</v>
      </c>
      <c r="B750" s="5" t="s">
        <v>224</v>
      </c>
      <c r="C750" s="5">
        <f>326.1+326.1</f>
        <v>652.20000000000005</v>
      </c>
      <c r="D750" s="5">
        <f t="shared" ref="D750:D754" si="67">+C750</f>
        <v>652.20000000000005</v>
      </c>
      <c r="E750" s="5" t="s">
        <v>214</v>
      </c>
      <c r="F750" s="5" t="s">
        <v>215</v>
      </c>
    </row>
    <row r="751" spans="1:6" x14ac:dyDescent="0.25">
      <c r="A751" s="5">
        <v>25</v>
      </c>
      <c r="B751" s="5" t="s">
        <v>225</v>
      </c>
      <c r="C751" s="5">
        <f>2662.8+2662.8</f>
        <v>5325.6</v>
      </c>
      <c r="D751" s="5">
        <f t="shared" si="67"/>
        <v>5325.6</v>
      </c>
      <c r="E751" s="5" t="s">
        <v>214</v>
      </c>
      <c r="F751" s="5" t="s">
        <v>215</v>
      </c>
    </row>
    <row r="752" spans="1:6" x14ac:dyDescent="0.25">
      <c r="A752" s="5">
        <v>25</v>
      </c>
      <c r="B752" s="5" t="s">
        <v>226</v>
      </c>
      <c r="C752" s="5">
        <f>663.12+663.12</f>
        <v>1326.24</v>
      </c>
      <c r="D752" s="5">
        <f t="shared" si="67"/>
        <v>1326.24</v>
      </c>
      <c r="E752" s="5" t="s">
        <v>214</v>
      </c>
      <c r="F752" s="5" t="s">
        <v>215</v>
      </c>
    </row>
    <row r="753" spans="1:6" x14ac:dyDescent="0.25">
      <c r="A753" s="5">
        <v>25</v>
      </c>
      <c r="B753" s="5" t="s">
        <v>227</v>
      </c>
      <c r="C753" s="5">
        <v>0</v>
      </c>
      <c r="D753" s="5">
        <v>0</v>
      </c>
      <c r="E753" s="5" t="s">
        <v>214</v>
      </c>
      <c r="F753" s="5" t="s">
        <v>215</v>
      </c>
    </row>
    <row r="754" spans="1:6" x14ac:dyDescent="0.25">
      <c r="A754" s="5">
        <v>25</v>
      </c>
      <c r="B754" s="5" t="s">
        <v>228</v>
      </c>
      <c r="C754" s="5">
        <f>539.7+539.7</f>
        <v>1079.4000000000001</v>
      </c>
      <c r="D754" s="5">
        <f t="shared" si="67"/>
        <v>1079.4000000000001</v>
      </c>
      <c r="E754" s="5" t="s">
        <v>214</v>
      </c>
      <c r="F754" s="5" t="s">
        <v>215</v>
      </c>
    </row>
    <row r="755" spans="1:6" x14ac:dyDescent="0.25">
      <c r="A755" s="5">
        <v>25</v>
      </c>
      <c r="B755" s="5" t="s">
        <v>229</v>
      </c>
      <c r="C755" s="5">
        <f>187.2+187.2</f>
        <v>374.4</v>
      </c>
      <c r="D755" s="5">
        <f>172+172</f>
        <v>344</v>
      </c>
      <c r="E755" s="5" t="s">
        <v>214</v>
      </c>
      <c r="F755" s="5" t="s">
        <v>215</v>
      </c>
    </row>
    <row r="756" spans="1:6" x14ac:dyDescent="0.25">
      <c r="A756" s="5">
        <v>26</v>
      </c>
      <c r="B756" s="5" t="s">
        <v>222</v>
      </c>
      <c r="C756" s="5">
        <f>22239.06+23005.92</f>
        <v>45244.979999999996</v>
      </c>
      <c r="D756" s="5">
        <f>19688.22+20361.78</f>
        <v>40050</v>
      </c>
      <c r="E756" s="5" t="s">
        <v>214</v>
      </c>
      <c r="F756" s="5" t="s">
        <v>215</v>
      </c>
    </row>
    <row r="757" spans="1:6" x14ac:dyDescent="0.25">
      <c r="A757" s="5">
        <v>26</v>
      </c>
      <c r="B757" s="5" t="s">
        <v>223</v>
      </c>
      <c r="C757" s="5">
        <f>425.14+439.8</f>
        <v>864.94</v>
      </c>
      <c r="D757" s="5">
        <f>+C757</f>
        <v>864.94</v>
      </c>
      <c r="E757" s="5" t="s">
        <v>214</v>
      </c>
      <c r="F757" s="5" t="s">
        <v>215</v>
      </c>
    </row>
    <row r="758" spans="1:6" x14ac:dyDescent="0.25">
      <c r="A758" s="5">
        <v>26</v>
      </c>
      <c r="B758" s="5" t="s">
        <v>224</v>
      </c>
      <c r="C758" s="5">
        <f>315.23+326.1</f>
        <v>641.33000000000004</v>
      </c>
      <c r="D758" s="5">
        <f t="shared" ref="D758:D762" si="68">+C758</f>
        <v>641.33000000000004</v>
      </c>
      <c r="E758" s="5" t="s">
        <v>214</v>
      </c>
      <c r="F758" s="5" t="s">
        <v>215</v>
      </c>
    </row>
    <row r="759" spans="1:6" x14ac:dyDescent="0.25">
      <c r="A759" s="5">
        <v>26</v>
      </c>
      <c r="B759" s="5" t="s">
        <v>225</v>
      </c>
      <c r="C759" s="5">
        <f>2574.04+2662.8</f>
        <v>5236.84</v>
      </c>
      <c r="D759" s="5">
        <f t="shared" si="68"/>
        <v>5236.84</v>
      </c>
      <c r="E759" s="5" t="s">
        <v>214</v>
      </c>
      <c r="F759" s="5" t="s">
        <v>215</v>
      </c>
    </row>
    <row r="760" spans="1:6" x14ac:dyDescent="0.25">
      <c r="A760" s="5">
        <v>26</v>
      </c>
      <c r="B760" s="5" t="s">
        <v>226</v>
      </c>
      <c r="C760" s="5">
        <f>641.02+663.12</f>
        <v>1304.1399999999999</v>
      </c>
      <c r="D760" s="5">
        <f t="shared" si="68"/>
        <v>1304.1399999999999</v>
      </c>
      <c r="E760" s="5" t="s">
        <v>214</v>
      </c>
      <c r="F760" s="5" t="s">
        <v>215</v>
      </c>
    </row>
    <row r="761" spans="1:6" x14ac:dyDescent="0.25">
      <c r="A761" s="5">
        <v>26</v>
      </c>
      <c r="B761" s="5" t="s">
        <v>227</v>
      </c>
      <c r="C761" s="5">
        <f>3554.18+3676.74</f>
        <v>7230.92</v>
      </c>
      <c r="D761" s="5">
        <f>3146.51+3254.16</f>
        <v>6400.67</v>
      </c>
      <c r="E761" s="5" t="s">
        <v>214</v>
      </c>
      <c r="F761" s="5" t="s">
        <v>215</v>
      </c>
    </row>
    <row r="762" spans="1:6" x14ac:dyDescent="0.25">
      <c r="A762" s="5">
        <v>26</v>
      </c>
      <c r="B762" s="5" t="s">
        <v>228</v>
      </c>
      <c r="C762" s="5">
        <f>521.71+539.7</f>
        <v>1061.4100000000001</v>
      </c>
      <c r="D762" s="5">
        <f t="shared" si="68"/>
        <v>1061.4100000000001</v>
      </c>
      <c r="E762" s="5" t="s">
        <v>214</v>
      </c>
      <c r="F762" s="5" t="s">
        <v>215</v>
      </c>
    </row>
    <row r="763" spans="1:6" x14ac:dyDescent="0.25">
      <c r="A763" s="5">
        <v>26</v>
      </c>
      <c r="B763" s="5" t="s">
        <v>229</v>
      </c>
      <c r="C763" s="5">
        <f>4529.63+4685.82</f>
        <v>9215.4500000000007</v>
      </c>
      <c r="D763" s="5">
        <f>4010.08+4147.26</f>
        <v>8157.34</v>
      </c>
      <c r="E763" s="5" t="s">
        <v>214</v>
      </c>
      <c r="F763" s="5" t="s">
        <v>215</v>
      </c>
    </row>
    <row r="764" spans="1:6" x14ac:dyDescent="0.25">
      <c r="A764" s="5">
        <v>27</v>
      </c>
      <c r="B764" s="5" t="s">
        <v>222</v>
      </c>
      <c r="C764" s="5">
        <f>81424.91+82339.8</f>
        <v>163764.71000000002</v>
      </c>
      <c r="D764" s="5">
        <f>65043.69+65715.26</f>
        <v>130758.95</v>
      </c>
      <c r="E764" s="5" t="s">
        <v>214</v>
      </c>
      <c r="F764" s="5" t="s">
        <v>215</v>
      </c>
    </row>
    <row r="765" spans="1:6" x14ac:dyDescent="0.25">
      <c r="A765" s="5">
        <v>27</v>
      </c>
      <c r="B765" s="5" t="s">
        <v>223</v>
      </c>
      <c r="C765" s="5">
        <v>0</v>
      </c>
      <c r="D765" s="5">
        <f>+C765</f>
        <v>0</v>
      </c>
      <c r="E765" s="5" t="s">
        <v>214</v>
      </c>
      <c r="F765" s="5" t="s">
        <v>215</v>
      </c>
    </row>
    <row r="766" spans="1:6" x14ac:dyDescent="0.25">
      <c r="A766" s="5">
        <v>27</v>
      </c>
      <c r="B766" s="5" t="s">
        <v>224</v>
      </c>
      <c r="C766" s="5">
        <v>0</v>
      </c>
      <c r="D766" s="5">
        <f t="shared" ref="D766:D768" si="69">+C766</f>
        <v>0</v>
      </c>
      <c r="E766" s="5" t="s">
        <v>214</v>
      </c>
      <c r="F766" s="5" t="s">
        <v>215</v>
      </c>
    </row>
    <row r="767" spans="1:6" x14ac:dyDescent="0.25">
      <c r="A767" s="5">
        <v>27</v>
      </c>
      <c r="B767" s="5" t="s">
        <v>225</v>
      </c>
      <c r="C767" s="5">
        <v>0</v>
      </c>
      <c r="D767" s="5">
        <f t="shared" si="69"/>
        <v>0</v>
      </c>
      <c r="E767" s="5" t="s">
        <v>214</v>
      </c>
      <c r="F767" s="5" t="s">
        <v>215</v>
      </c>
    </row>
    <row r="768" spans="1:6" x14ac:dyDescent="0.25">
      <c r="A768" s="5">
        <v>27</v>
      </c>
      <c r="B768" s="5" t="s">
        <v>226</v>
      </c>
      <c r="C768" s="5">
        <v>0</v>
      </c>
      <c r="D768" s="5">
        <f t="shared" si="69"/>
        <v>0</v>
      </c>
      <c r="E768" s="5" t="s">
        <v>214</v>
      </c>
      <c r="F768" s="5" t="s">
        <v>215</v>
      </c>
    </row>
    <row r="769" spans="1:6" x14ac:dyDescent="0.25">
      <c r="A769" s="5">
        <v>27</v>
      </c>
      <c r="B769" s="5" t="s">
        <v>227</v>
      </c>
      <c r="C769" s="5">
        <v>0</v>
      </c>
      <c r="D769" s="5">
        <v>0</v>
      </c>
      <c r="E769" s="5" t="s">
        <v>214</v>
      </c>
      <c r="F769" s="5" t="s">
        <v>215</v>
      </c>
    </row>
    <row r="770" spans="1:6" x14ac:dyDescent="0.25">
      <c r="A770" s="5">
        <v>27</v>
      </c>
      <c r="B770" s="5" t="s">
        <v>228</v>
      </c>
      <c r="C770" s="5">
        <v>0</v>
      </c>
      <c r="D770" s="5">
        <v>0</v>
      </c>
      <c r="E770" s="5" t="s">
        <v>214</v>
      </c>
      <c r="F770" s="5" t="s">
        <v>215</v>
      </c>
    </row>
    <row r="771" spans="1:6" x14ac:dyDescent="0.25">
      <c r="A771" s="5">
        <v>27</v>
      </c>
      <c r="B771" s="5" t="s">
        <v>229</v>
      </c>
      <c r="C771" s="5">
        <v>0</v>
      </c>
      <c r="D771" s="5">
        <v>0</v>
      </c>
      <c r="E771" s="5" t="s">
        <v>214</v>
      </c>
      <c r="F771" s="5" t="s">
        <v>215</v>
      </c>
    </row>
    <row r="772" spans="1:6" x14ac:dyDescent="0.25">
      <c r="A772" s="5">
        <v>28</v>
      </c>
      <c r="B772" s="5" t="s">
        <v>222</v>
      </c>
      <c r="C772" s="5">
        <f>19521.42+19521.42</f>
        <v>39042.839999999997</v>
      </c>
      <c r="D772" s="5">
        <f>18149.3+18149.3</f>
        <v>36298.6</v>
      </c>
      <c r="E772" s="5" t="s">
        <v>214</v>
      </c>
      <c r="F772" s="5" t="s">
        <v>215</v>
      </c>
    </row>
    <row r="773" spans="1:6" x14ac:dyDescent="0.25">
      <c r="A773" s="5">
        <v>28</v>
      </c>
      <c r="B773" s="5" t="s">
        <v>223</v>
      </c>
      <c r="C773" s="5">
        <f>439.8+439.8</f>
        <v>879.6</v>
      </c>
      <c r="D773" s="5">
        <f>+C773</f>
        <v>879.6</v>
      </c>
      <c r="E773" s="5" t="s">
        <v>214</v>
      </c>
      <c r="F773" s="5" t="s">
        <v>215</v>
      </c>
    </row>
    <row r="774" spans="1:6" x14ac:dyDescent="0.25">
      <c r="A774" s="5">
        <v>28</v>
      </c>
      <c r="B774" s="5" t="s">
        <v>224</v>
      </c>
      <c r="C774" s="5">
        <f>326.1+326.1</f>
        <v>652.20000000000005</v>
      </c>
      <c r="D774" s="5">
        <f t="shared" ref="D774:D778" si="70">+C774</f>
        <v>652.20000000000005</v>
      </c>
      <c r="E774" s="5" t="s">
        <v>214</v>
      </c>
      <c r="F774" s="5" t="s">
        <v>215</v>
      </c>
    </row>
    <row r="775" spans="1:6" x14ac:dyDescent="0.25">
      <c r="A775" s="5">
        <v>28</v>
      </c>
      <c r="B775" s="5" t="s">
        <v>225</v>
      </c>
      <c r="C775" s="5">
        <f>2662.8+2662.8</f>
        <v>5325.6</v>
      </c>
      <c r="D775" s="5">
        <f t="shared" si="70"/>
        <v>5325.6</v>
      </c>
      <c r="E775" s="5" t="s">
        <v>214</v>
      </c>
      <c r="F775" s="5" t="s">
        <v>215</v>
      </c>
    </row>
    <row r="776" spans="1:6" x14ac:dyDescent="0.25">
      <c r="A776" s="5">
        <v>28</v>
      </c>
      <c r="B776" s="5" t="s">
        <v>226</v>
      </c>
      <c r="C776" s="5">
        <f>663.12+663.12</f>
        <v>1326.24</v>
      </c>
      <c r="D776" s="5">
        <f t="shared" si="70"/>
        <v>1326.24</v>
      </c>
      <c r="E776" s="5" t="s">
        <v>214</v>
      </c>
      <c r="F776" s="5" t="s">
        <v>215</v>
      </c>
    </row>
    <row r="777" spans="1:6" x14ac:dyDescent="0.25">
      <c r="A777" s="5">
        <v>28</v>
      </c>
      <c r="B777" s="5" t="s">
        <v>227</v>
      </c>
      <c r="C777" s="5">
        <v>0</v>
      </c>
      <c r="D777" s="5">
        <v>0</v>
      </c>
      <c r="E777" s="5" t="s">
        <v>214</v>
      </c>
      <c r="F777" s="5" t="s">
        <v>215</v>
      </c>
    </row>
    <row r="778" spans="1:6" x14ac:dyDescent="0.25">
      <c r="A778" s="5">
        <v>28</v>
      </c>
      <c r="B778" s="5" t="s">
        <v>228</v>
      </c>
      <c r="C778" s="5">
        <f>539.7+539.7</f>
        <v>1079.4000000000001</v>
      </c>
      <c r="D778" s="5">
        <f t="shared" si="70"/>
        <v>1079.4000000000001</v>
      </c>
      <c r="E778" s="5" t="s">
        <v>214</v>
      </c>
      <c r="F778" s="5" t="s">
        <v>215</v>
      </c>
    </row>
    <row r="779" spans="1:6" x14ac:dyDescent="0.25">
      <c r="A779" s="5">
        <v>28</v>
      </c>
      <c r="B779" s="5" t="s">
        <v>229</v>
      </c>
      <c r="C779" s="5">
        <f>187.2+187.2</f>
        <v>374.4</v>
      </c>
      <c r="D779" s="5">
        <f>174.04+174.04</f>
        <v>348.08</v>
      </c>
      <c r="E779" s="5" t="s">
        <v>214</v>
      </c>
      <c r="F779" s="5" t="s">
        <v>215</v>
      </c>
    </row>
    <row r="780" spans="1:6" x14ac:dyDescent="0.25">
      <c r="A780" s="5">
        <v>29</v>
      </c>
      <c r="B780" s="5" t="s">
        <v>222</v>
      </c>
      <c r="C780" s="5">
        <f>21009.3+20775.86</f>
        <v>41785.160000000003</v>
      </c>
      <c r="D780" s="5">
        <f>19325.05+19142.98</f>
        <v>38468.03</v>
      </c>
      <c r="E780" s="5" t="s">
        <v>214</v>
      </c>
      <c r="F780" s="5" t="s">
        <v>215</v>
      </c>
    </row>
    <row r="781" spans="1:6" x14ac:dyDescent="0.25">
      <c r="A781" s="5">
        <v>29</v>
      </c>
      <c r="B781" s="5" t="s">
        <v>223</v>
      </c>
      <c r="C781" s="5">
        <f>439.8+434.91</f>
        <v>874.71</v>
      </c>
      <c r="D781" s="5">
        <f>+C781</f>
        <v>874.71</v>
      </c>
      <c r="E781" s="5" t="s">
        <v>214</v>
      </c>
      <c r="F781" s="5" t="s">
        <v>215</v>
      </c>
    </row>
    <row r="782" spans="1:6" x14ac:dyDescent="0.25">
      <c r="A782" s="5">
        <v>29</v>
      </c>
      <c r="B782" s="5" t="s">
        <v>224</v>
      </c>
      <c r="C782" s="5">
        <f>326.1+322.48</f>
        <v>648.58000000000004</v>
      </c>
      <c r="D782" s="5">
        <f t="shared" ref="D782:D786" si="71">+C782</f>
        <v>648.58000000000004</v>
      </c>
      <c r="E782" s="5" t="s">
        <v>214</v>
      </c>
      <c r="F782" s="5" t="s">
        <v>215</v>
      </c>
    </row>
    <row r="783" spans="1:6" x14ac:dyDescent="0.25">
      <c r="A783" s="5">
        <v>29</v>
      </c>
      <c r="B783" s="5" t="s">
        <v>225</v>
      </c>
      <c r="C783" s="5">
        <f>2662.8+2633.21</f>
        <v>5296.01</v>
      </c>
      <c r="D783" s="5">
        <f t="shared" si="71"/>
        <v>5296.01</v>
      </c>
      <c r="E783" s="5" t="s">
        <v>214</v>
      </c>
      <c r="F783" s="5" t="s">
        <v>215</v>
      </c>
    </row>
    <row r="784" spans="1:6" x14ac:dyDescent="0.25">
      <c r="A784" s="5">
        <v>29</v>
      </c>
      <c r="B784" s="5" t="s">
        <v>226</v>
      </c>
      <c r="C784" s="5">
        <f>663.12+655.75</f>
        <v>1318.87</v>
      </c>
      <c r="D784" s="5">
        <f t="shared" si="71"/>
        <v>1318.87</v>
      </c>
      <c r="E784" s="5" t="s">
        <v>214</v>
      </c>
      <c r="F784" s="5" t="s">
        <v>215</v>
      </c>
    </row>
    <row r="785" spans="1:6" x14ac:dyDescent="0.25">
      <c r="A785" s="5">
        <v>29</v>
      </c>
      <c r="B785" s="5" t="s">
        <v>227</v>
      </c>
      <c r="C785" s="5">
        <v>0</v>
      </c>
      <c r="D785" s="5">
        <v>0</v>
      </c>
      <c r="E785" s="5" t="s">
        <v>214</v>
      </c>
      <c r="F785" s="5" t="s">
        <v>215</v>
      </c>
    </row>
    <row r="786" spans="1:6" x14ac:dyDescent="0.25">
      <c r="A786" s="5">
        <v>29</v>
      </c>
      <c r="B786" s="5" t="s">
        <v>228</v>
      </c>
      <c r="C786" s="5">
        <f>539.7+533.7</f>
        <v>1073.4000000000001</v>
      </c>
      <c r="D786" s="5">
        <f t="shared" si="71"/>
        <v>1073.4000000000001</v>
      </c>
      <c r="E786" s="5" t="s">
        <v>214</v>
      </c>
      <c r="F786" s="5" t="s">
        <v>215</v>
      </c>
    </row>
    <row r="787" spans="1:6" x14ac:dyDescent="0.25">
      <c r="A787" s="5">
        <v>29</v>
      </c>
      <c r="B787" s="5" t="s">
        <v>229</v>
      </c>
      <c r="C787" s="5">
        <f>187.2+185.12</f>
        <v>372.32</v>
      </c>
      <c r="D787" s="5">
        <f>172.19+170.57</f>
        <v>342.76</v>
      </c>
      <c r="E787" s="5" t="s">
        <v>214</v>
      </c>
      <c r="F787" s="5" t="s">
        <v>215</v>
      </c>
    </row>
    <row r="788" spans="1:6" x14ac:dyDescent="0.25">
      <c r="A788" s="5">
        <v>30</v>
      </c>
      <c r="B788" s="5" t="s">
        <v>222</v>
      </c>
      <c r="C788" s="5">
        <f>19087.61+19087.61</f>
        <v>38175.22</v>
      </c>
      <c r="D788" s="5">
        <f>17798.59+17798.59</f>
        <v>35597.18</v>
      </c>
      <c r="E788" s="5" t="s">
        <v>214</v>
      </c>
      <c r="F788" s="5" t="s">
        <v>215</v>
      </c>
    </row>
    <row r="789" spans="1:6" x14ac:dyDescent="0.25">
      <c r="A789" s="5">
        <v>30</v>
      </c>
      <c r="B789" s="5" t="s">
        <v>223</v>
      </c>
      <c r="C789" s="5">
        <f>430.03+430.03</f>
        <v>860.06</v>
      </c>
      <c r="D789" s="5">
        <f>+C789</f>
        <v>860.06</v>
      </c>
      <c r="E789" s="5" t="s">
        <v>214</v>
      </c>
      <c r="F789" s="5" t="s">
        <v>215</v>
      </c>
    </row>
    <row r="790" spans="1:6" x14ac:dyDescent="0.25">
      <c r="A790" s="5">
        <v>30</v>
      </c>
      <c r="B790" s="5" t="s">
        <v>224</v>
      </c>
      <c r="C790" s="5">
        <f>318.85+318.85</f>
        <v>637.70000000000005</v>
      </c>
      <c r="D790" s="5">
        <f t="shared" ref="D790:D794" si="72">+C790</f>
        <v>637.70000000000005</v>
      </c>
      <c r="E790" s="5" t="s">
        <v>214</v>
      </c>
      <c r="F790" s="5" t="s">
        <v>215</v>
      </c>
    </row>
    <row r="791" spans="1:6" x14ac:dyDescent="0.25">
      <c r="A791" s="5">
        <v>30</v>
      </c>
      <c r="B791" s="5" t="s">
        <v>225</v>
      </c>
      <c r="C791" s="5">
        <f>2603.63+2603.63</f>
        <v>5207.26</v>
      </c>
      <c r="D791" s="5">
        <f t="shared" si="72"/>
        <v>5207.26</v>
      </c>
      <c r="E791" s="5" t="s">
        <v>214</v>
      </c>
      <c r="F791" s="5" t="s">
        <v>215</v>
      </c>
    </row>
    <row r="792" spans="1:6" x14ac:dyDescent="0.25">
      <c r="A792" s="5">
        <v>30</v>
      </c>
      <c r="B792" s="5" t="s">
        <v>226</v>
      </c>
      <c r="C792" s="5">
        <f>648.38+648.38</f>
        <v>1296.76</v>
      </c>
      <c r="D792" s="5">
        <f t="shared" si="72"/>
        <v>1296.76</v>
      </c>
      <c r="E792" s="5" t="s">
        <v>214</v>
      </c>
      <c r="F792" s="5" t="s">
        <v>215</v>
      </c>
    </row>
    <row r="793" spans="1:6" x14ac:dyDescent="0.25">
      <c r="A793" s="5">
        <v>30</v>
      </c>
      <c r="B793" s="5" t="s">
        <v>227</v>
      </c>
      <c r="C793" s="5">
        <v>0</v>
      </c>
      <c r="D793" s="5">
        <v>0</v>
      </c>
      <c r="E793" s="5" t="s">
        <v>214</v>
      </c>
      <c r="F793" s="5" t="s">
        <v>215</v>
      </c>
    </row>
    <row r="794" spans="1:6" x14ac:dyDescent="0.25">
      <c r="A794" s="5">
        <v>30</v>
      </c>
      <c r="B794" s="5" t="s">
        <v>228</v>
      </c>
      <c r="C794" s="5">
        <f>527.71+527.71</f>
        <v>1055.42</v>
      </c>
      <c r="D794" s="5">
        <f t="shared" si="72"/>
        <v>1055.42</v>
      </c>
      <c r="E794" s="5" t="s">
        <v>214</v>
      </c>
      <c r="F794" s="5" t="s">
        <v>215</v>
      </c>
    </row>
    <row r="795" spans="1:6" x14ac:dyDescent="0.25">
      <c r="A795" s="5">
        <v>30</v>
      </c>
      <c r="B795" s="5" t="s">
        <v>229</v>
      </c>
      <c r="C795" s="5">
        <f>183.04+183.04</f>
        <v>366.08</v>
      </c>
      <c r="D795" s="5">
        <f>170.68+170.68</f>
        <v>341.36</v>
      </c>
      <c r="E795" s="5" t="s">
        <v>214</v>
      </c>
      <c r="F795" s="5" t="s">
        <v>215</v>
      </c>
    </row>
    <row r="796" spans="1:6" x14ac:dyDescent="0.25">
      <c r="A796" s="5">
        <v>31</v>
      </c>
      <c r="B796" s="5" t="s">
        <v>222</v>
      </c>
      <c r="C796" s="5">
        <f>17786.19+17352.39</f>
        <v>35138.58</v>
      </c>
      <c r="D796" s="5">
        <f>16756.15+16425.5</f>
        <v>33181.65</v>
      </c>
      <c r="E796" s="5" t="s">
        <v>214</v>
      </c>
      <c r="F796" s="5" t="s">
        <v>215</v>
      </c>
    </row>
    <row r="797" spans="1:6" x14ac:dyDescent="0.25">
      <c r="A797" s="5">
        <v>31</v>
      </c>
      <c r="B797" s="5" t="s">
        <v>223</v>
      </c>
      <c r="C797" s="5">
        <f>400.71+390.93</f>
        <v>791.64</v>
      </c>
      <c r="D797" s="5">
        <f>+C797</f>
        <v>791.64</v>
      </c>
      <c r="E797" s="5" t="s">
        <v>214</v>
      </c>
      <c r="F797" s="5" t="s">
        <v>215</v>
      </c>
    </row>
    <row r="798" spans="1:6" x14ac:dyDescent="0.25">
      <c r="A798" s="5">
        <v>31</v>
      </c>
      <c r="B798" s="5" t="s">
        <v>224</v>
      </c>
      <c r="C798" s="5">
        <f>297.11+289.87</f>
        <v>586.98</v>
      </c>
      <c r="D798" s="5">
        <f t="shared" ref="D798:D802" si="73">+C798</f>
        <v>586.98</v>
      </c>
      <c r="E798" s="5" t="s">
        <v>214</v>
      </c>
      <c r="F798" s="5" t="s">
        <v>215</v>
      </c>
    </row>
    <row r="799" spans="1:6" x14ac:dyDescent="0.25">
      <c r="A799" s="5">
        <v>31</v>
      </c>
      <c r="B799" s="5" t="s">
        <v>225</v>
      </c>
      <c r="C799" s="5">
        <f>2426.11+2366.93</f>
        <v>4793.04</v>
      </c>
      <c r="D799" s="5">
        <f t="shared" si="73"/>
        <v>4793.04</v>
      </c>
      <c r="E799" s="5" t="s">
        <v>214</v>
      </c>
      <c r="F799" s="5" t="s">
        <v>215</v>
      </c>
    </row>
    <row r="800" spans="1:6" x14ac:dyDescent="0.25">
      <c r="A800" s="5">
        <v>31</v>
      </c>
      <c r="B800" s="5" t="s">
        <v>226</v>
      </c>
      <c r="C800" s="5">
        <f>604.18+589.44</f>
        <v>1193.6199999999999</v>
      </c>
      <c r="D800" s="5">
        <f t="shared" si="73"/>
        <v>1193.6199999999999</v>
      </c>
      <c r="E800" s="5" t="s">
        <v>214</v>
      </c>
      <c r="F800" s="5" t="s">
        <v>215</v>
      </c>
    </row>
    <row r="801" spans="1:6" x14ac:dyDescent="0.25">
      <c r="A801" s="5">
        <v>31</v>
      </c>
      <c r="B801" s="5" t="s">
        <v>227</v>
      </c>
      <c r="C801" s="5">
        <v>0</v>
      </c>
      <c r="D801" s="5">
        <v>0</v>
      </c>
      <c r="E801" s="5" t="s">
        <v>214</v>
      </c>
      <c r="F801" s="5" t="s">
        <v>215</v>
      </c>
    </row>
    <row r="802" spans="1:6" x14ac:dyDescent="0.25">
      <c r="A802" s="5">
        <v>31</v>
      </c>
      <c r="B802" s="5" t="s">
        <v>228</v>
      </c>
      <c r="C802" s="5">
        <f>491.73+479.73</f>
        <v>971.46</v>
      </c>
      <c r="D802" s="5">
        <f t="shared" si="73"/>
        <v>971.46</v>
      </c>
      <c r="E802" s="5" t="s">
        <v>214</v>
      </c>
      <c r="F802" s="5" t="s">
        <v>215</v>
      </c>
    </row>
    <row r="803" spans="1:6" x14ac:dyDescent="0.25">
      <c r="A803" s="5">
        <v>31</v>
      </c>
      <c r="B803" s="5" t="s">
        <v>229</v>
      </c>
      <c r="C803" s="5">
        <f>170.56+166.4</f>
        <v>336.96000000000004</v>
      </c>
      <c r="D803" s="5">
        <f>160.68+157.51</f>
        <v>318.19</v>
      </c>
      <c r="E803" s="5" t="s">
        <v>214</v>
      </c>
      <c r="F803" s="5" t="s">
        <v>215</v>
      </c>
    </row>
    <row r="804" spans="1:6" x14ac:dyDescent="0.25">
      <c r="A804" s="5">
        <v>32</v>
      </c>
      <c r="B804" s="5" t="s">
        <v>222</v>
      </c>
      <c r="C804" s="5">
        <f>19087.62+19087.61</f>
        <v>38175.229999999996</v>
      </c>
      <c r="D804" s="5">
        <f>17802.75+17818.64</f>
        <v>35621.39</v>
      </c>
      <c r="E804" s="5" t="s">
        <v>214</v>
      </c>
      <c r="F804" s="5" t="s">
        <v>215</v>
      </c>
    </row>
    <row r="805" spans="1:6" x14ac:dyDescent="0.25">
      <c r="A805" s="5">
        <v>32</v>
      </c>
      <c r="B805" s="5" t="s">
        <v>223</v>
      </c>
      <c r="C805" s="5">
        <f>430.02+430.03</f>
        <v>860.05</v>
      </c>
      <c r="D805" s="5">
        <f>+C805</f>
        <v>860.05</v>
      </c>
      <c r="E805" s="5" t="s">
        <v>214</v>
      </c>
      <c r="F805" s="5" t="s">
        <v>215</v>
      </c>
    </row>
    <row r="806" spans="1:6" x14ac:dyDescent="0.25">
      <c r="A806" s="5">
        <v>32</v>
      </c>
      <c r="B806" s="5" t="s">
        <v>224</v>
      </c>
      <c r="C806" s="5">
        <f>318.86+318.85</f>
        <v>637.71</v>
      </c>
      <c r="D806" s="5">
        <f t="shared" ref="D806:D810" si="74">+C806</f>
        <v>637.71</v>
      </c>
      <c r="E806" s="5" t="s">
        <v>214</v>
      </c>
      <c r="F806" s="5" t="s">
        <v>215</v>
      </c>
    </row>
    <row r="807" spans="1:6" x14ac:dyDescent="0.25">
      <c r="A807" s="5">
        <v>32</v>
      </c>
      <c r="B807" s="5" t="s">
        <v>225</v>
      </c>
      <c r="C807" s="5">
        <f>2603.62+2603.63</f>
        <v>5207.25</v>
      </c>
      <c r="D807" s="5">
        <f t="shared" si="74"/>
        <v>5207.25</v>
      </c>
      <c r="E807" s="5" t="s">
        <v>214</v>
      </c>
      <c r="F807" s="5" t="s">
        <v>215</v>
      </c>
    </row>
    <row r="808" spans="1:6" x14ac:dyDescent="0.25">
      <c r="A808" s="5">
        <v>32</v>
      </c>
      <c r="B808" s="5" t="s">
        <v>226</v>
      </c>
      <c r="C808" s="5">
        <f>648.38+648.38</f>
        <v>1296.76</v>
      </c>
      <c r="D808" s="5">
        <f t="shared" si="74"/>
        <v>1296.76</v>
      </c>
      <c r="E808" s="5" t="s">
        <v>214</v>
      </c>
      <c r="F808" s="5" t="s">
        <v>215</v>
      </c>
    </row>
    <row r="809" spans="1:6" x14ac:dyDescent="0.25">
      <c r="A809" s="5">
        <v>32</v>
      </c>
      <c r="B809" s="5" t="s">
        <v>227</v>
      </c>
      <c r="C809" s="5">
        <v>0</v>
      </c>
      <c r="D809" s="5">
        <v>0</v>
      </c>
      <c r="E809" s="5" t="s">
        <v>214</v>
      </c>
      <c r="F809" s="5" t="s">
        <v>215</v>
      </c>
    </row>
    <row r="810" spans="1:6" x14ac:dyDescent="0.25">
      <c r="A810" s="5">
        <v>32</v>
      </c>
      <c r="B810" s="5" t="s">
        <v>228</v>
      </c>
      <c r="C810" s="5">
        <f>527.7+527.71</f>
        <v>1055.4100000000001</v>
      </c>
      <c r="D810" s="5">
        <f t="shared" si="74"/>
        <v>1055.4100000000001</v>
      </c>
      <c r="E810" s="5" t="s">
        <v>214</v>
      </c>
      <c r="F810" s="5" t="s">
        <v>215</v>
      </c>
    </row>
    <row r="811" spans="1:6" x14ac:dyDescent="0.25">
      <c r="A811" s="5">
        <v>32</v>
      </c>
      <c r="B811" s="5" t="s">
        <v>229</v>
      </c>
      <c r="C811" s="5">
        <f>183.04+183.04</f>
        <v>366.08</v>
      </c>
      <c r="D811" s="5">
        <f>170.72+170.87</f>
        <v>341.59000000000003</v>
      </c>
      <c r="E811" s="5" t="s">
        <v>214</v>
      </c>
      <c r="F811" s="5" t="s">
        <v>215</v>
      </c>
    </row>
    <row r="812" spans="1:6" x14ac:dyDescent="0.25">
      <c r="A812" s="5">
        <v>33</v>
      </c>
      <c r="B812" s="5" t="s">
        <v>222</v>
      </c>
      <c r="C812" s="5">
        <f>21595.22+19521.42</f>
        <v>41116.639999999999</v>
      </c>
      <c r="D812" s="5">
        <f>19454.31+18149.3</f>
        <v>37603.61</v>
      </c>
      <c r="E812" s="5" t="s">
        <v>214</v>
      </c>
      <c r="F812" s="5" t="s">
        <v>215</v>
      </c>
    </row>
    <row r="813" spans="1:6" x14ac:dyDescent="0.25">
      <c r="A813" s="5">
        <v>33</v>
      </c>
      <c r="B813" s="5" t="s">
        <v>223</v>
      </c>
      <c r="C813" s="5">
        <f>439.8+439.8</f>
        <v>879.6</v>
      </c>
      <c r="D813" s="5">
        <f>+C813</f>
        <v>879.6</v>
      </c>
      <c r="E813" s="5" t="s">
        <v>214</v>
      </c>
      <c r="F813" s="5" t="s">
        <v>215</v>
      </c>
    </row>
    <row r="814" spans="1:6" x14ac:dyDescent="0.25">
      <c r="A814" s="5">
        <v>33</v>
      </c>
      <c r="B814" s="5" t="s">
        <v>224</v>
      </c>
      <c r="C814" s="5">
        <f>326.1+326.1</f>
        <v>652.20000000000005</v>
      </c>
      <c r="D814" s="5">
        <f t="shared" ref="D814:D818" si="75">+C814</f>
        <v>652.20000000000005</v>
      </c>
      <c r="E814" s="5" t="s">
        <v>214</v>
      </c>
      <c r="F814" s="5" t="s">
        <v>215</v>
      </c>
    </row>
    <row r="815" spans="1:6" x14ac:dyDescent="0.25">
      <c r="A815" s="5">
        <v>33</v>
      </c>
      <c r="B815" s="5" t="s">
        <v>225</v>
      </c>
      <c r="C815" s="5">
        <f>2662.8+2662.8</f>
        <v>5325.6</v>
      </c>
      <c r="D815" s="5">
        <f t="shared" si="75"/>
        <v>5325.6</v>
      </c>
      <c r="E815" s="5" t="s">
        <v>214</v>
      </c>
      <c r="F815" s="5" t="s">
        <v>215</v>
      </c>
    </row>
    <row r="816" spans="1:6" x14ac:dyDescent="0.25">
      <c r="A816" s="5">
        <v>33</v>
      </c>
      <c r="B816" s="5" t="s">
        <v>226</v>
      </c>
      <c r="C816" s="5">
        <f>663.12+663.12</f>
        <v>1326.24</v>
      </c>
      <c r="D816" s="5">
        <f t="shared" si="75"/>
        <v>1326.24</v>
      </c>
      <c r="E816" s="5" t="s">
        <v>214</v>
      </c>
      <c r="F816" s="5" t="s">
        <v>215</v>
      </c>
    </row>
    <row r="817" spans="1:6" x14ac:dyDescent="0.25">
      <c r="A817" s="5">
        <v>33</v>
      </c>
      <c r="B817" s="5" t="s">
        <v>227</v>
      </c>
      <c r="C817" s="5">
        <v>0</v>
      </c>
      <c r="D817" s="5">
        <v>0</v>
      </c>
      <c r="E817" s="5" t="s">
        <v>214</v>
      </c>
      <c r="F817" s="5" t="s">
        <v>215</v>
      </c>
    </row>
    <row r="818" spans="1:6" x14ac:dyDescent="0.25">
      <c r="A818" s="5">
        <v>33</v>
      </c>
      <c r="B818" s="5" t="s">
        <v>228</v>
      </c>
      <c r="C818" s="5">
        <f>539.7+539.7</f>
        <v>1079.4000000000001</v>
      </c>
      <c r="D818" s="5">
        <f t="shared" si="75"/>
        <v>1079.4000000000001</v>
      </c>
      <c r="E818" s="5" t="s">
        <v>214</v>
      </c>
      <c r="F818" s="5" t="s">
        <v>215</v>
      </c>
    </row>
    <row r="819" spans="1:6" x14ac:dyDescent="0.25">
      <c r="A819" s="5">
        <v>33</v>
      </c>
      <c r="B819" s="5" t="s">
        <v>229</v>
      </c>
      <c r="C819" s="5">
        <f>187.2+187.2</f>
        <v>374.4</v>
      </c>
      <c r="D819" s="5">
        <f>168.64+174.04</f>
        <v>342.67999999999995</v>
      </c>
      <c r="E819" s="5" t="s">
        <v>214</v>
      </c>
      <c r="F819" s="5" t="s">
        <v>215</v>
      </c>
    </row>
    <row r="820" spans="1:6" x14ac:dyDescent="0.25">
      <c r="A820" s="5">
        <v>34</v>
      </c>
      <c r="B820" s="5" t="s">
        <v>222</v>
      </c>
      <c r="C820" s="5">
        <f>22129.18+22129.18</f>
        <v>44258.36</v>
      </c>
      <c r="D820" s="5">
        <f>19835.04+19878.15</f>
        <v>39713.19</v>
      </c>
      <c r="E820" s="5" t="s">
        <v>214</v>
      </c>
      <c r="F820" s="5" t="s">
        <v>215</v>
      </c>
    </row>
    <row r="821" spans="1:6" x14ac:dyDescent="0.25">
      <c r="A821" s="5">
        <v>34</v>
      </c>
      <c r="B821" s="5" t="s">
        <v>223</v>
      </c>
      <c r="C821" s="5">
        <f>430.02+430.03</f>
        <v>860.05</v>
      </c>
      <c r="D821" s="5">
        <f>+C821</f>
        <v>860.05</v>
      </c>
      <c r="E821" s="5" t="s">
        <v>214</v>
      </c>
      <c r="F821" s="5" t="s">
        <v>215</v>
      </c>
    </row>
    <row r="822" spans="1:6" x14ac:dyDescent="0.25">
      <c r="A822" s="5">
        <v>34</v>
      </c>
      <c r="B822" s="5" t="s">
        <v>224</v>
      </c>
      <c r="C822" s="5">
        <f>318.86+318.85</f>
        <v>637.71</v>
      </c>
      <c r="D822" s="5">
        <f t="shared" ref="D822:D826" si="76">+C822</f>
        <v>637.71</v>
      </c>
      <c r="E822" s="5" t="s">
        <v>214</v>
      </c>
      <c r="F822" s="5" t="s">
        <v>215</v>
      </c>
    </row>
    <row r="823" spans="1:6" x14ac:dyDescent="0.25">
      <c r="A823" s="5">
        <v>34</v>
      </c>
      <c r="B823" s="5" t="s">
        <v>225</v>
      </c>
      <c r="C823" s="5">
        <f>2603.62+2603.63</f>
        <v>5207.25</v>
      </c>
      <c r="D823" s="5">
        <f t="shared" si="76"/>
        <v>5207.25</v>
      </c>
      <c r="E823" s="5" t="s">
        <v>214</v>
      </c>
      <c r="F823" s="5" t="s">
        <v>215</v>
      </c>
    </row>
    <row r="824" spans="1:6" x14ac:dyDescent="0.25">
      <c r="A824" s="5">
        <v>34</v>
      </c>
      <c r="B824" s="5" t="s">
        <v>226</v>
      </c>
      <c r="C824" s="5">
        <f>648.38+648.38</f>
        <v>1296.76</v>
      </c>
      <c r="D824" s="5">
        <f t="shared" si="76"/>
        <v>1296.76</v>
      </c>
      <c r="E824" s="5" t="s">
        <v>214</v>
      </c>
      <c r="F824" s="5" t="s">
        <v>215</v>
      </c>
    </row>
    <row r="825" spans="1:6" x14ac:dyDescent="0.25">
      <c r="A825" s="5">
        <v>34</v>
      </c>
      <c r="B825" s="5" t="s">
        <v>227</v>
      </c>
      <c r="C825" s="5">
        <f>2492.52+2492.51</f>
        <v>4985.0300000000007</v>
      </c>
      <c r="D825" s="5">
        <f>2234.12+2238.97</f>
        <v>4473.09</v>
      </c>
      <c r="E825" s="5" t="s">
        <v>214</v>
      </c>
      <c r="F825" s="5" t="s">
        <v>215</v>
      </c>
    </row>
    <row r="826" spans="1:6" x14ac:dyDescent="0.25">
      <c r="A826" s="5">
        <v>34</v>
      </c>
      <c r="B826" s="5" t="s">
        <v>228</v>
      </c>
      <c r="C826" s="5">
        <f>527.7+527.71</f>
        <v>1055.4100000000001</v>
      </c>
      <c r="D826" s="5">
        <f t="shared" si="76"/>
        <v>1055.4100000000001</v>
      </c>
      <c r="E826" s="5" t="s">
        <v>214</v>
      </c>
      <c r="F826" s="5" t="s">
        <v>215</v>
      </c>
    </row>
    <row r="827" spans="1:6" x14ac:dyDescent="0.25">
      <c r="A827" s="5">
        <v>34</v>
      </c>
      <c r="B827" s="5" t="s">
        <v>229</v>
      </c>
      <c r="C827" s="5">
        <f>183.04+183.04</f>
        <v>366.08</v>
      </c>
      <c r="D827" s="5">
        <f>164.06+164.42</f>
        <v>328.48</v>
      </c>
      <c r="E827" s="5" t="s">
        <v>214</v>
      </c>
      <c r="F827" s="5" t="s">
        <v>215</v>
      </c>
    </row>
    <row r="828" spans="1:6" x14ac:dyDescent="0.25">
      <c r="A828" s="5">
        <v>35</v>
      </c>
      <c r="B828" s="5" t="s">
        <v>222</v>
      </c>
      <c r="C828" s="5">
        <f>22632.12+22632.12</f>
        <v>45264.24</v>
      </c>
      <c r="D828" s="5">
        <f>20171.02+20199.48</f>
        <v>40370.5</v>
      </c>
      <c r="E828" s="5" t="s">
        <v>214</v>
      </c>
      <c r="F828" s="5" t="s">
        <v>215</v>
      </c>
    </row>
    <row r="829" spans="1:6" x14ac:dyDescent="0.25">
      <c r="A829" s="5">
        <v>35</v>
      </c>
      <c r="B829" s="5" t="s">
        <v>223</v>
      </c>
      <c r="C829" s="5">
        <f>439.8+439.8</f>
        <v>879.6</v>
      </c>
      <c r="D829" s="5">
        <f>+C829</f>
        <v>879.6</v>
      </c>
      <c r="E829" s="5" t="s">
        <v>214</v>
      </c>
      <c r="F829" s="5" t="s">
        <v>215</v>
      </c>
    </row>
    <row r="830" spans="1:6" x14ac:dyDescent="0.25">
      <c r="A830" s="5">
        <v>35</v>
      </c>
      <c r="B830" s="5" t="s">
        <v>224</v>
      </c>
      <c r="C830" s="5">
        <f>326.1+326.1</f>
        <v>652.20000000000005</v>
      </c>
      <c r="D830" s="5">
        <f t="shared" ref="D830:D834" si="77">+C830</f>
        <v>652.20000000000005</v>
      </c>
      <c r="E830" s="5" t="s">
        <v>214</v>
      </c>
      <c r="F830" s="5" t="s">
        <v>215</v>
      </c>
    </row>
    <row r="831" spans="1:6" x14ac:dyDescent="0.25">
      <c r="A831" s="5">
        <v>35</v>
      </c>
      <c r="B831" s="5" t="s">
        <v>225</v>
      </c>
      <c r="C831" s="5">
        <f>2662.8+2662.8</f>
        <v>5325.6</v>
      </c>
      <c r="D831" s="5">
        <f t="shared" si="77"/>
        <v>5325.6</v>
      </c>
      <c r="E831" s="5" t="s">
        <v>214</v>
      </c>
      <c r="F831" s="5" t="s">
        <v>215</v>
      </c>
    </row>
    <row r="832" spans="1:6" x14ac:dyDescent="0.25">
      <c r="A832" s="5">
        <v>35</v>
      </c>
      <c r="B832" s="5" t="s">
        <v>226</v>
      </c>
      <c r="C832" s="5">
        <f>663.12+663.12</f>
        <v>1326.24</v>
      </c>
      <c r="D832" s="5">
        <f t="shared" si="77"/>
        <v>1326.24</v>
      </c>
      <c r="E832" s="5" t="s">
        <v>214</v>
      </c>
      <c r="F832" s="5" t="s">
        <v>215</v>
      </c>
    </row>
    <row r="833" spans="1:6" x14ac:dyDescent="0.25">
      <c r="A833" s="5">
        <v>35</v>
      </c>
      <c r="B833" s="5" t="s">
        <v>227</v>
      </c>
      <c r="C833" s="5">
        <f>2549.16+2549.16</f>
        <v>5098.32</v>
      </c>
      <c r="D833" s="5">
        <f>2271.96+2275.16</f>
        <v>4547.12</v>
      </c>
      <c r="E833" s="5" t="s">
        <v>214</v>
      </c>
      <c r="F833" s="5" t="s">
        <v>215</v>
      </c>
    </row>
    <row r="834" spans="1:6" x14ac:dyDescent="0.25">
      <c r="A834" s="5">
        <v>35</v>
      </c>
      <c r="B834" s="5" t="s">
        <v>228</v>
      </c>
      <c r="C834" s="5">
        <f>539.7+539.7</f>
        <v>1079.4000000000001</v>
      </c>
      <c r="D834" s="5">
        <f t="shared" si="77"/>
        <v>1079.4000000000001</v>
      </c>
      <c r="E834" s="5" t="s">
        <v>214</v>
      </c>
      <c r="F834" s="5" t="s">
        <v>215</v>
      </c>
    </row>
    <row r="835" spans="1:6" x14ac:dyDescent="0.25">
      <c r="A835" s="5">
        <v>35</v>
      </c>
      <c r="B835" s="5" t="s">
        <v>229</v>
      </c>
      <c r="C835" s="5">
        <f>187.2+187.2</f>
        <v>374.4</v>
      </c>
      <c r="D835" s="5">
        <f>166.84+167.08</f>
        <v>333.92</v>
      </c>
      <c r="E835" s="5" t="s">
        <v>214</v>
      </c>
      <c r="F835" s="5" t="s">
        <v>215</v>
      </c>
    </row>
    <row r="836" spans="1:6" x14ac:dyDescent="0.25">
      <c r="A836" s="5">
        <v>36</v>
      </c>
      <c r="B836" s="5" t="s">
        <v>222</v>
      </c>
      <c r="C836" s="5">
        <f>19521.42+19521.42</f>
        <v>39042.839999999997</v>
      </c>
      <c r="D836" s="5">
        <f>18149.3+18149.3</f>
        <v>36298.6</v>
      </c>
      <c r="E836" s="5" t="s">
        <v>214</v>
      </c>
      <c r="F836" s="5" t="s">
        <v>215</v>
      </c>
    </row>
    <row r="837" spans="1:6" x14ac:dyDescent="0.25">
      <c r="A837" s="5">
        <v>36</v>
      </c>
      <c r="B837" s="5" t="s">
        <v>223</v>
      </c>
      <c r="C837" s="5">
        <f>439.8+439.8</f>
        <v>879.6</v>
      </c>
      <c r="D837" s="5">
        <f>+C837</f>
        <v>879.6</v>
      </c>
      <c r="E837" s="5" t="s">
        <v>214</v>
      </c>
      <c r="F837" s="5" t="s">
        <v>215</v>
      </c>
    </row>
    <row r="838" spans="1:6" x14ac:dyDescent="0.25">
      <c r="A838" s="5">
        <v>36</v>
      </c>
      <c r="B838" s="5" t="s">
        <v>224</v>
      </c>
      <c r="C838" s="5">
        <f>326.1+326.1</f>
        <v>652.20000000000005</v>
      </c>
      <c r="D838" s="5">
        <f t="shared" ref="D838:D842" si="78">+C838</f>
        <v>652.20000000000005</v>
      </c>
      <c r="E838" s="5" t="s">
        <v>214</v>
      </c>
      <c r="F838" s="5" t="s">
        <v>215</v>
      </c>
    </row>
    <row r="839" spans="1:6" x14ac:dyDescent="0.25">
      <c r="A839" s="5">
        <v>36</v>
      </c>
      <c r="B839" s="5" t="s">
        <v>225</v>
      </c>
      <c r="C839" s="5">
        <f>2662.8+2662.8</f>
        <v>5325.6</v>
      </c>
      <c r="D839" s="5">
        <f t="shared" si="78"/>
        <v>5325.6</v>
      </c>
      <c r="E839" s="5" t="s">
        <v>214</v>
      </c>
      <c r="F839" s="5" t="s">
        <v>215</v>
      </c>
    </row>
    <row r="840" spans="1:6" x14ac:dyDescent="0.25">
      <c r="A840" s="5">
        <v>36</v>
      </c>
      <c r="B840" s="5" t="s">
        <v>226</v>
      </c>
      <c r="C840" s="5">
        <f>663.12+663.12</f>
        <v>1326.24</v>
      </c>
      <c r="D840" s="5">
        <f t="shared" si="78"/>
        <v>1326.24</v>
      </c>
      <c r="E840" s="5" t="s">
        <v>214</v>
      </c>
      <c r="F840" s="5" t="s">
        <v>215</v>
      </c>
    </row>
    <row r="841" spans="1:6" x14ac:dyDescent="0.25">
      <c r="A841" s="5">
        <v>36</v>
      </c>
      <c r="B841" s="5" t="s">
        <v>227</v>
      </c>
      <c r="C841" s="5">
        <v>0</v>
      </c>
      <c r="D841" s="5">
        <v>0</v>
      </c>
      <c r="E841" s="5" t="s">
        <v>214</v>
      </c>
      <c r="F841" s="5" t="s">
        <v>215</v>
      </c>
    </row>
    <row r="842" spans="1:6" x14ac:dyDescent="0.25">
      <c r="A842" s="5">
        <v>36</v>
      </c>
      <c r="B842" s="5" t="s">
        <v>228</v>
      </c>
      <c r="C842" s="5">
        <f>539.7+539.7</f>
        <v>1079.4000000000001</v>
      </c>
      <c r="D842" s="5">
        <f t="shared" si="78"/>
        <v>1079.4000000000001</v>
      </c>
      <c r="E842" s="5" t="s">
        <v>214</v>
      </c>
      <c r="F842" s="5" t="s">
        <v>215</v>
      </c>
    </row>
    <row r="843" spans="1:6" x14ac:dyDescent="0.25">
      <c r="A843" s="5">
        <v>36</v>
      </c>
      <c r="B843" s="5" t="s">
        <v>229</v>
      </c>
      <c r="C843" s="5">
        <f>187.2+187.2</f>
        <v>374.4</v>
      </c>
      <c r="D843" s="5">
        <f>174.04+174.04</f>
        <v>348.08</v>
      </c>
      <c r="E843" s="5" t="s">
        <v>214</v>
      </c>
      <c r="F843" s="5" t="s">
        <v>215</v>
      </c>
    </row>
    <row r="844" spans="1:6" x14ac:dyDescent="0.25">
      <c r="A844" s="5">
        <v>37</v>
      </c>
      <c r="B844" s="5" t="s">
        <v>222</v>
      </c>
      <c r="C844" s="5">
        <v>3253.57</v>
      </c>
      <c r="D844" s="5">
        <v>3024.88</v>
      </c>
      <c r="E844" s="5" t="s">
        <v>214</v>
      </c>
      <c r="F844" s="5" t="s">
        <v>215</v>
      </c>
    </row>
    <row r="845" spans="1:6" x14ac:dyDescent="0.25">
      <c r="A845" s="5">
        <v>37</v>
      </c>
      <c r="B845" s="5" t="s">
        <v>223</v>
      </c>
      <c r="C845" s="5">
        <v>73.3</v>
      </c>
      <c r="D845" s="5">
        <f>+C845</f>
        <v>73.3</v>
      </c>
      <c r="E845" s="5" t="s">
        <v>214</v>
      </c>
      <c r="F845" s="5" t="s">
        <v>215</v>
      </c>
    </row>
    <row r="846" spans="1:6" x14ac:dyDescent="0.25">
      <c r="A846" s="5">
        <v>37</v>
      </c>
      <c r="B846" s="5" t="s">
        <v>224</v>
      </c>
      <c r="C846" s="5">
        <v>54.35</v>
      </c>
      <c r="D846" s="5">
        <f t="shared" ref="D846:D850" si="79">+C846</f>
        <v>54.35</v>
      </c>
      <c r="E846" s="5" t="s">
        <v>214</v>
      </c>
      <c r="F846" s="5" t="s">
        <v>215</v>
      </c>
    </row>
    <row r="847" spans="1:6" x14ac:dyDescent="0.25">
      <c r="A847" s="5">
        <v>37</v>
      </c>
      <c r="B847" s="5" t="s">
        <v>225</v>
      </c>
      <c r="C847" s="5">
        <v>443.8</v>
      </c>
      <c r="D847" s="5">
        <f t="shared" si="79"/>
        <v>443.8</v>
      </c>
      <c r="E847" s="5" t="s">
        <v>214</v>
      </c>
      <c r="F847" s="5" t="s">
        <v>215</v>
      </c>
    </row>
    <row r="848" spans="1:6" x14ac:dyDescent="0.25">
      <c r="A848" s="5">
        <v>37</v>
      </c>
      <c r="B848" s="5" t="s">
        <v>226</v>
      </c>
      <c r="C848" s="5">
        <v>110.52</v>
      </c>
      <c r="D848" s="5">
        <f t="shared" si="79"/>
        <v>110.52</v>
      </c>
      <c r="E848" s="5" t="s">
        <v>214</v>
      </c>
      <c r="F848" s="5" t="s">
        <v>215</v>
      </c>
    </row>
    <row r="849" spans="1:6" x14ac:dyDescent="0.25">
      <c r="A849" s="5">
        <v>37</v>
      </c>
      <c r="B849" s="5" t="s">
        <v>227</v>
      </c>
      <c r="C849" s="5">
        <v>0</v>
      </c>
      <c r="D849" s="5">
        <v>0</v>
      </c>
      <c r="E849" s="5" t="s">
        <v>214</v>
      </c>
      <c r="F849" s="5" t="s">
        <v>215</v>
      </c>
    </row>
    <row r="850" spans="1:6" x14ac:dyDescent="0.25">
      <c r="A850" s="5">
        <v>37</v>
      </c>
      <c r="B850" s="5" t="s">
        <v>228</v>
      </c>
      <c r="C850" s="5">
        <v>89.95</v>
      </c>
      <c r="D850" s="5">
        <f t="shared" si="79"/>
        <v>89.95</v>
      </c>
      <c r="E850" s="5" t="s">
        <v>214</v>
      </c>
      <c r="F850" s="5" t="s">
        <v>215</v>
      </c>
    </row>
    <row r="851" spans="1:6" x14ac:dyDescent="0.25">
      <c r="A851" s="5">
        <v>37</v>
      </c>
      <c r="B851" s="5" t="s">
        <v>229</v>
      </c>
      <c r="C851" s="5">
        <v>31.2</v>
      </c>
      <c r="D851" s="5">
        <v>29.01</v>
      </c>
      <c r="E851" s="5" t="s">
        <v>214</v>
      </c>
      <c r="F851" s="5" t="s">
        <v>215</v>
      </c>
    </row>
    <row r="852" spans="1:6" x14ac:dyDescent="0.25">
      <c r="A852" s="5">
        <v>38</v>
      </c>
      <c r="B852" s="5" t="s">
        <v>222</v>
      </c>
      <c r="C852" s="5">
        <f>19521.42+19521.42</f>
        <v>39042.839999999997</v>
      </c>
      <c r="D852" s="5">
        <f>18149.3+18149.3</f>
        <v>36298.6</v>
      </c>
      <c r="E852" s="5" t="s">
        <v>214</v>
      </c>
      <c r="F852" s="5" t="s">
        <v>215</v>
      </c>
    </row>
    <row r="853" spans="1:6" x14ac:dyDescent="0.25">
      <c r="A853" s="5">
        <v>38</v>
      </c>
      <c r="B853" s="5" t="s">
        <v>223</v>
      </c>
      <c r="C853" s="5">
        <f>439.8+439.8</f>
        <v>879.6</v>
      </c>
      <c r="D853" s="5">
        <f>+C853</f>
        <v>879.6</v>
      </c>
      <c r="E853" s="5" t="s">
        <v>214</v>
      </c>
      <c r="F853" s="5" t="s">
        <v>215</v>
      </c>
    </row>
    <row r="854" spans="1:6" x14ac:dyDescent="0.25">
      <c r="A854" s="5">
        <v>38</v>
      </c>
      <c r="B854" s="5" t="s">
        <v>224</v>
      </c>
      <c r="C854" s="5">
        <f>326.1+326.1</f>
        <v>652.20000000000005</v>
      </c>
      <c r="D854" s="5">
        <f t="shared" ref="D854:D858" si="80">+C854</f>
        <v>652.20000000000005</v>
      </c>
      <c r="E854" s="5" t="s">
        <v>214</v>
      </c>
      <c r="F854" s="5" t="s">
        <v>215</v>
      </c>
    </row>
    <row r="855" spans="1:6" x14ac:dyDescent="0.25">
      <c r="A855" s="5">
        <v>38</v>
      </c>
      <c r="B855" s="5" t="s">
        <v>225</v>
      </c>
      <c r="C855" s="5">
        <f>2662.8+2662.8</f>
        <v>5325.6</v>
      </c>
      <c r="D855" s="5">
        <f t="shared" si="80"/>
        <v>5325.6</v>
      </c>
      <c r="E855" s="5" t="s">
        <v>214</v>
      </c>
      <c r="F855" s="5" t="s">
        <v>215</v>
      </c>
    </row>
    <row r="856" spans="1:6" x14ac:dyDescent="0.25">
      <c r="A856" s="5">
        <v>38</v>
      </c>
      <c r="B856" s="5" t="s">
        <v>226</v>
      </c>
      <c r="C856" s="5">
        <f>663.12+663.12</f>
        <v>1326.24</v>
      </c>
      <c r="D856" s="5">
        <f t="shared" si="80"/>
        <v>1326.24</v>
      </c>
      <c r="E856" s="5" t="s">
        <v>214</v>
      </c>
      <c r="F856" s="5" t="s">
        <v>215</v>
      </c>
    </row>
    <row r="857" spans="1:6" x14ac:dyDescent="0.25">
      <c r="A857" s="5">
        <v>38</v>
      </c>
      <c r="B857" s="5" t="s">
        <v>227</v>
      </c>
      <c r="C857" s="5">
        <v>0</v>
      </c>
      <c r="D857" s="5">
        <v>0</v>
      </c>
      <c r="E857" s="5" t="s">
        <v>214</v>
      </c>
      <c r="F857" s="5" t="s">
        <v>215</v>
      </c>
    </row>
    <row r="858" spans="1:6" x14ac:dyDescent="0.25">
      <c r="A858" s="5">
        <v>38</v>
      </c>
      <c r="B858" s="5" t="s">
        <v>228</v>
      </c>
      <c r="C858" s="5">
        <f>539.7+539.7</f>
        <v>1079.4000000000001</v>
      </c>
      <c r="D858" s="5">
        <f t="shared" si="80"/>
        <v>1079.4000000000001</v>
      </c>
      <c r="E858" s="5" t="s">
        <v>214</v>
      </c>
      <c r="F858" s="5" t="s">
        <v>215</v>
      </c>
    </row>
    <row r="859" spans="1:6" x14ac:dyDescent="0.25">
      <c r="A859" s="5">
        <v>38</v>
      </c>
      <c r="B859" s="5" t="s">
        <v>229</v>
      </c>
      <c r="C859" s="5">
        <f>187.2+187.2</f>
        <v>374.4</v>
      </c>
      <c r="D859" s="5">
        <f>174.04+174.04</f>
        <v>348.08</v>
      </c>
      <c r="E859" s="5" t="s">
        <v>214</v>
      </c>
      <c r="F859" s="5" t="s">
        <v>215</v>
      </c>
    </row>
    <row r="860" spans="1:6" x14ac:dyDescent="0.25">
      <c r="A860" s="5">
        <v>39</v>
      </c>
      <c r="B860" s="5" t="s">
        <v>222</v>
      </c>
      <c r="C860" s="5">
        <f>19087.61+18870.72</f>
        <v>37958.33</v>
      </c>
      <c r="D860" s="5">
        <f>17828.8+17653.32</f>
        <v>35482.119999999995</v>
      </c>
      <c r="E860" s="5" t="s">
        <v>214</v>
      </c>
      <c r="F860" s="5" t="s">
        <v>215</v>
      </c>
    </row>
    <row r="861" spans="1:6" x14ac:dyDescent="0.25">
      <c r="A861" s="5">
        <v>39</v>
      </c>
      <c r="B861" s="5" t="s">
        <v>223</v>
      </c>
      <c r="C861" s="5">
        <f>430.03+425.13</f>
        <v>855.16</v>
      </c>
      <c r="D861" s="5">
        <f>+C861</f>
        <v>855.16</v>
      </c>
      <c r="E861" s="5" t="s">
        <v>214</v>
      </c>
      <c r="F861" s="5" t="s">
        <v>215</v>
      </c>
    </row>
    <row r="862" spans="1:6" x14ac:dyDescent="0.25">
      <c r="A862" s="5">
        <v>39</v>
      </c>
      <c r="B862" s="5" t="s">
        <v>224</v>
      </c>
      <c r="C862" s="5">
        <f>318.85+315.24</f>
        <v>634.09</v>
      </c>
      <c r="D862" s="5">
        <f t="shared" ref="D862:D866" si="81">+C862</f>
        <v>634.09</v>
      </c>
      <c r="E862" s="5" t="s">
        <v>214</v>
      </c>
      <c r="F862" s="5" t="s">
        <v>215</v>
      </c>
    </row>
    <row r="863" spans="1:6" x14ac:dyDescent="0.25">
      <c r="A863" s="5">
        <v>39</v>
      </c>
      <c r="B863" s="5" t="s">
        <v>225</v>
      </c>
      <c r="C863" s="5">
        <f>2603.63+2574.03</f>
        <v>5177.66</v>
      </c>
      <c r="D863" s="5">
        <f t="shared" si="81"/>
        <v>5177.66</v>
      </c>
      <c r="E863" s="5" t="s">
        <v>214</v>
      </c>
      <c r="F863" s="5" t="s">
        <v>215</v>
      </c>
    </row>
    <row r="864" spans="1:6" x14ac:dyDescent="0.25">
      <c r="A864" s="5">
        <v>39</v>
      </c>
      <c r="B864" s="5" t="s">
        <v>226</v>
      </c>
      <c r="C864" s="5">
        <f>648.38+641.01</f>
        <v>1289.3899999999999</v>
      </c>
      <c r="D864" s="5">
        <f t="shared" si="81"/>
        <v>1289.3899999999999</v>
      </c>
      <c r="E864" s="5" t="s">
        <v>214</v>
      </c>
      <c r="F864" s="5" t="s">
        <v>215</v>
      </c>
    </row>
    <row r="865" spans="1:6" x14ac:dyDescent="0.25">
      <c r="A865" s="5">
        <v>39</v>
      </c>
      <c r="B865" s="5" t="s">
        <v>227</v>
      </c>
      <c r="C865" s="5">
        <v>462.5</v>
      </c>
      <c r="D865" s="5">
        <v>432</v>
      </c>
      <c r="E865" s="5" t="s">
        <v>214</v>
      </c>
      <c r="F865" s="5" t="s">
        <v>215</v>
      </c>
    </row>
    <row r="866" spans="1:6" x14ac:dyDescent="0.25">
      <c r="A866" s="5">
        <v>39</v>
      </c>
      <c r="B866" s="5" t="s">
        <v>228</v>
      </c>
      <c r="C866" s="5">
        <f>527.71+521.7</f>
        <v>1049.4100000000001</v>
      </c>
      <c r="D866" s="5">
        <f t="shared" si="81"/>
        <v>1049.4100000000001</v>
      </c>
      <c r="E866" s="5" t="s">
        <v>214</v>
      </c>
      <c r="F866" s="5" t="s">
        <v>215</v>
      </c>
    </row>
    <row r="867" spans="1:6" x14ac:dyDescent="0.25">
      <c r="A867" s="5">
        <v>39</v>
      </c>
      <c r="B867" s="5" t="s">
        <v>229</v>
      </c>
      <c r="C867" s="5">
        <f>183.04+180.96</f>
        <v>364</v>
      </c>
      <c r="D867" s="5">
        <f>170.97+169.29</f>
        <v>340.26</v>
      </c>
      <c r="E867" s="5" t="s">
        <v>214</v>
      </c>
      <c r="F867" s="5" t="s">
        <v>215</v>
      </c>
    </row>
    <row r="868" spans="1:6" x14ac:dyDescent="0.25">
      <c r="A868" s="5">
        <v>40</v>
      </c>
      <c r="B868" s="5" t="s">
        <v>222</v>
      </c>
      <c r="C868" s="5">
        <f>19521.42+19521.42</f>
        <v>39042.839999999997</v>
      </c>
      <c r="D868" s="5">
        <f>18149.3+18149.3</f>
        <v>36298.6</v>
      </c>
      <c r="E868" s="5" t="s">
        <v>214</v>
      </c>
      <c r="F868" s="5" t="s">
        <v>215</v>
      </c>
    </row>
    <row r="869" spans="1:6" x14ac:dyDescent="0.25">
      <c r="A869" s="5">
        <v>40</v>
      </c>
      <c r="B869" s="5" t="s">
        <v>223</v>
      </c>
      <c r="C869" s="5">
        <f>439.8+439.8</f>
        <v>879.6</v>
      </c>
      <c r="D869" s="5">
        <f>+C869</f>
        <v>879.6</v>
      </c>
      <c r="E869" s="5" t="s">
        <v>214</v>
      </c>
      <c r="F869" s="5" t="s">
        <v>215</v>
      </c>
    </row>
    <row r="870" spans="1:6" x14ac:dyDescent="0.25">
      <c r="A870" s="5">
        <v>40</v>
      </c>
      <c r="B870" s="5" t="s">
        <v>224</v>
      </c>
      <c r="C870" s="5">
        <f>326.1+326.1</f>
        <v>652.20000000000005</v>
      </c>
      <c r="D870" s="5">
        <f t="shared" ref="D870:D874" si="82">+C870</f>
        <v>652.20000000000005</v>
      </c>
      <c r="E870" s="5" t="s">
        <v>214</v>
      </c>
      <c r="F870" s="5" t="s">
        <v>215</v>
      </c>
    </row>
    <row r="871" spans="1:6" x14ac:dyDescent="0.25">
      <c r="A871" s="5">
        <v>40</v>
      </c>
      <c r="B871" s="5" t="s">
        <v>225</v>
      </c>
      <c r="C871" s="5">
        <f>2662.8+2662.8</f>
        <v>5325.6</v>
      </c>
      <c r="D871" s="5">
        <f t="shared" si="82"/>
        <v>5325.6</v>
      </c>
      <c r="E871" s="5" t="s">
        <v>214</v>
      </c>
      <c r="F871" s="5" t="s">
        <v>215</v>
      </c>
    </row>
    <row r="872" spans="1:6" x14ac:dyDescent="0.25">
      <c r="A872" s="5">
        <v>40</v>
      </c>
      <c r="B872" s="5" t="s">
        <v>226</v>
      </c>
      <c r="C872" s="5">
        <f>663.12+663.12</f>
        <v>1326.24</v>
      </c>
      <c r="D872" s="5">
        <f t="shared" si="82"/>
        <v>1326.24</v>
      </c>
      <c r="E872" s="5" t="s">
        <v>214</v>
      </c>
      <c r="F872" s="5" t="s">
        <v>215</v>
      </c>
    </row>
    <row r="873" spans="1:6" x14ac:dyDescent="0.25">
      <c r="A873" s="5">
        <v>40</v>
      </c>
      <c r="B873" s="5" t="s">
        <v>227</v>
      </c>
      <c r="C873" s="5">
        <v>0</v>
      </c>
      <c r="D873" s="5">
        <v>0</v>
      </c>
      <c r="E873" s="5" t="s">
        <v>214</v>
      </c>
      <c r="F873" s="5" t="s">
        <v>215</v>
      </c>
    </row>
    <row r="874" spans="1:6" x14ac:dyDescent="0.25">
      <c r="A874" s="5">
        <v>40</v>
      </c>
      <c r="B874" s="5" t="s">
        <v>228</v>
      </c>
      <c r="C874" s="5">
        <f>539.7+539.7</f>
        <v>1079.4000000000001</v>
      </c>
      <c r="D874" s="5">
        <f t="shared" si="82"/>
        <v>1079.4000000000001</v>
      </c>
      <c r="E874" s="5" t="s">
        <v>214</v>
      </c>
      <c r="F874" s="5" t="s">
        <v>215</v>
      </c>
    </row>
    <row r="875" spans="1:6" x14ac:dyDescent="0.25">
      <c r="A875" s="5">
        <v>40</v>
      </c>
      <c r="B875" s="5" t="s">
        <v>229</v>
      </c>
      <c r="C875" s="5">
        <f>187.2+187.2</f>
        <v>374.4</v>
      </c>
      <c r="D875" s="5">
        <f>174.04+174.04</f>
        <v>348.08</v>
      </c>
      <c r="E875" s="5" t="s">
        <v>214</v>
      </c>
      <c r="F875" s="5" t="s">
        <v>215</v>
      </c>
    </row>
    <row r="876" spans="1:6" x14ac:dyDescent="0.25">
      <c r="A876" s="5">
        <v>41</v>
      </c>
      <c r="B876" s="5" t="s">
        <v>222</v>
      </c>
      <c r="C876" s="5">
        <f>23005.92+23005.92</f>
        <v>46011.839999999997</v>
      </c>
      <c r="D876" s="5">
        <f>20324.43+20449.08</f>
        <v>40773.51</v>
      </c>
      <c r="E876" s="5" t="s">
        <v>214</v>
      </c>
      <c r="F876" s="5" t="s">
        <v>215</v>
      </c>
    </row>
    <row r="877" spans="1:6" x14ac:dyDescent="0.25">
      <c r="A877" s="5">
        <v>41</v>
      </c>
      <c r="B877" s="5" t="s">
        <v>223</v>
      </c>
      <c r="C877" s="5">
        <f>439.8+439.8</f>
        <v>879.6</v>
      </c>
      <c r="D877" s="5">
        <f>+C877</f>
        <v>879.6</v>
      </c>
      <c r="E877" s="5" t="s">
        <v>214</v>
      </c>
      <c r="F877" s="5" t="s">
        <v>215</v>
      </c>
    </row>
    <row r="878" spans="1:6" x14ac:dyDescent="0.25">
      <c r="A878" s="5">
        <v>41</v>
      </c>
      <c r="B878" s="5" t="s">
        <v>224</v>
      </c>
      <c r="C878" s="5">
        <f>326.1+326.1</f>
        <v>652.20000000000005</v>
      </c>
      <c r="D878" s="5">
        <f t="shared" ref="D878:D882" si="83">+C878</f>
        <v>652.20000000000005</v>
      </c>
      <c r="E878" s="5" t="s">
        <v>214</v>
      </c>
      <c r="F878" s="5" t="s">
        <v>215</v>
      </c>
    </row>
    <row r="879" spans="1:6" x14ac:dyDescent="0.25">
      <c r="A879" s="5">
        <v>41</v>
      </c>
      <c r="B879" s="5" t="s">
        <v>225</v>
      </c>
      <c r="C879" s="5">
        <f>2662.8+2662.8</f>
        <v>5325.6</v>
      </c>
      <c r="D879" s="5">
        <f t="shared" si="83"/>
        <v>5325.6</v>
      </c>
      <c r="E879" s="5" t="s">
        <v>214</v>
      </c>
      <c r="F879" s="5" t="s">
        <v>215</v>
      </c>
    </row>
    <row r="880" spans="1:6" x14ac:dyDescent="0.25">
      <c r="A880" s="5">
        <v>41</v>
      </c>
      <c r="B880" s="5" t="s">
        <v>226</v>
      </c>
      <c r="C880" s="5">
        <f>663.12+663.12</f>
        <v>1326.24</v>
      </c>
      <c r="D880" s="5">
        <f t="shared" si="83"/>
        <v>1326.24</v>
      </c>
      <c r="E880" s="5" t="s">
        <v>214</v>
      </c>
      <c r="F880" s="5" t="s">
        <v>215</v>
      </c>
    </row>
    <row r="881" spans="1:6" x14ac:dyDescent="0.25">
      <c r="A881" s="5">
        <v>41</v>
      </c>
      <c r="B881" s="5" t="s">
        <v>227</v>
      </c>
      <c r="C881" s="5">
        <f>9676.74+9676.75</f>
        <v>19353.489999999998</v>
      </c>
      <c r="D881" s="5">
        <f>8548.85+8601.29</f>
        <v>17150.14</v>
      </c>
      <c r="E881" s="5" t="s">
        <v>214</v>
      </c>
      <c r="F881" s="5" t="s">
        <v>215</v>
      </c>
    </row>
    <row r="882" spans="1:6" x14ac:dyDescent="0.25">
      <c r="A882" s="5">
        <v>41</v>
      </c>
      <c r="B882" s="5" t="s">
        <v>228</v>
      </c>
      <c r="C882" s="5">
        <f>539.7+539.7</f>
        <v>1079.4000000000001</v>
      </c>
      <c r="D882" s="5">
        <f t="shared" si="83"/>
        <v>1079.4000000000001</v>
      </c>
      <c r="E882" s="5" t="s">
        <v>214</v>
      </c>
      <c r="F882" s="5" t="s">
        <v>215</v>
      </c>
    </row>
    <row r="883" spans="1:6" x14ac:dyDescent="0.25">
      <c r="A883" s="5">
        <v>41</v>
      </c>
      <c r="B883" s="5" t="s">
        <v>229</v>
      </c>
      <c r="C883" s="5">
        <f>4685.82+4685.82</f>
        <v>9371.64</v>
      </c>
      <c r="D883" s="5">
        <f>4139.66+4165.04</f>
        <v>8304.7000000000007</v>
      </c>
      <c r="E883" s="5" t="s">
        <v>214</v>
      </c>
      <c r="F883" s="5" t="s">
        <v>215</v>
      </c>
    </row>
    <row r="884" spans="1:6" x14ac:dyDescent="0.25">
      <c r="A884" s="5">
        <v>42</v>
      </c>
      <c r="B884" s="5" t="s">
        <v>222</v>
      </c>
      <c r="C884" s="5">
        <v>12580.41</v>
      </c>
      <c r="D884" s="5">
        <v>11768.81</v>
      </c>
      <c r="E884" s="5" t="s">
        <v>214</v>
      </c>
      <c r="F884" s="5" t="s">
        <v>215</v>
      </c>
    </row>
    <row r="885" spans="1:6" x14ac:dyDescent="0.25">
      <c r="A885" s="5">
        <v>42</v>
      </c>
      <c r="B885" s="5" t="s">
        <v>223</v>
      </c>
      <c r="C885" s="5">
        <v>283.42</v>
      </c>
      <c r="D885" s="5">
        <f>+C885</f>
        <v>283.42</v>
      </c>
      <c r="E885" s="5" t="s">
        <v>214</v>
      </c>
      <c r="F885" s="5" t="s">
        <v>215</v>
      </c>
    </row>
    <row r="886" spans="1:6" x14ac:dyDescent="0.25">
      <c r="A886" s="5">
        <v>42</v>
      </c>
      <c r="B886" s="5" t="s">
        <v>224</v>
      </c>
      <c r="C886" s="5">
        <v>210.16</v>
      </c>
      <c r="D886" s="5">
        <f t="shared" ref="D886:D890" si="84">+C886</f>
        <v>210.16</v>
      </c>
      <c r="E886" s="5" t="s">
        <v>214</v>
      </c>
      <c r="F886" s="5" t="s">
        <v>215</v>
      </c>
    </row>
    <row r="887" spans="1:6" x14ac:dyDescent="0.25">
      <c r="A887" s="5">
        <v>42</v>
      </c>
      <c r="B887" s="5" t="s">
        <v>225</v>
      </c>
      <c r="C887" s="5">
        <v>1716.02</v>
      </c>
      <c r="D887" s="5">
        <f t="shared" si="84"/>
        <v>1716.02</v>
      </c>
      <c r="E887" s="5" t="s">
        <v>214</v>
      </c>
      <c r="F887" s="5" t="s">
        <v>215</v>
      </c>
    </row>
    <row r="888" spans="1:6" x14ac:dyDescent="0.25">
      <c r="A888" s="5">
        <v>42</v>
      </c>
      <c r="B888" s="5" t="s">
        <v>226</v>
      </c>
      <c r="C888" s="5">
        <v>427.34</v>
      </c>
      <c r="D888" s="5">
        <f t="shared" si="84"/>
        <v>427.34</v>
      </c>
      <c r="E888" s="5" t="s">
        <v>214</v>
      </c>
      <c r="F888" s="5" t="s">
        <v>215</v>
      </c>
    </row>
    <row r="889" spans="1:6" x14ac:dyDescent="0.25">
      <c r="A889" s="5">
        <v>42</v>
      </c>
      <c r="B889" s="5" t="s">
        <v>227</v>
      </c>
      <c r="C889" s="5">
        <v>0</v>
      </c>
      <c r="D889" s="5">
        <v>0</v>
      </c>
      <c r="E889" s="5" t="s">
        <v>214</v>
      </c>
      <c r="F889" s="5" t="s">
        <v>215</v>
      </c>
    </row>
    <row r="890" spans="1:6" x14ac:dyDescent="0.25">
      <c r="A890" s="5">
        <v>42</v>
      </c>
      <c r="B890" s="5" t="s">
        <v>228</v>
      </c>
      <c r="C890" s="5">
        <v>347.8</v>
      </c>
      <c r="D890" s="5">
        <f t="shared" si="84"/>
        <v>347.8</v>
      </c>
      <c r="E890" s="5" t="s">
        <v>214</v>
      </c>
      <c r="F890" s="5" t="s">
        <v>215</v>
      </c>
    </row>
    <row r="891" spans="1:6" x14ac:dyDescent="0.25">
      <c r="A891" s="5">
        <v>42</v>
      </c>
      <c r="B891" s="5" t="s">
        <v>229</v>
      </c>
      <c r="C891" s="5">
        <v>120.64</v>
      </c>
      <c r="D891" s="5">
        <v>112.86</v>
      </c>
      <c r="E891" s="5" t="s">
        <v>214</v>
      </c>
      <c r="F891" s="5" t="s">
        <v>215</v>
      </c>
    </row>
    <row r="892" spans="1:6" x14ac:dyDescent="0.25">
      <c r="A892" s="5">
        <v>43</v>
      </c>
      <c r="B892" s="5" t="s">
        <v>222</v>
      </c>
      <c r="C892" s="5">
        <f>19521.42+19521.42</f>
        <v>39042.839999999997</v>
      </c>
      <c r="D892" s="5">
        <f>18149.3+18149.3</f>
        <v>36298.6</v>
      </c>
      <c r="E892" s="5" t="s">
        <v>214</v>
      </c>
      <c r="F892" s="5" t="s">
        <v>215</v>
      </c>
    </row>
    <row r="893" spans="1:6" x14ac:dyDescent="0.25">
      <c r="A893" s="5">
        <v>43</v>
      </c>
      <c r="B893" s="5" t="s">
        <v>223</v>
      </c>
      <c r="C893" s="5">
        <f>439.8+439.8</f>
        <v>879.6</v>
      </c>
      <c r="D893" s="5">
        <f>+C893</f>
        <v>879.6</v>
      </c>
      <c r="E893" s="5" t="s">
        <v>214</v>
      </c>
      <c r="F893" s="5" t="s">
        <v>215</v>
      </c>
    </row>
    <row r="894" spans="1:6" x14ac:dyDescent="0.25">
      <c r="A894" s="5">
        <v>43</v>
      </c>
      <c r="B894" s="5" t="s">
        <v>224</v>
      </c>
      <c r="C894" s="5">
        <f>326.1+326.1</f>
        <v>652.20000000000005</v>
      </c>
      <c r="D894" s="5">
        <f t="shared" ref="D894:D898" si="85">+C894</f>
        <v>652.20000000000005</v>
      </c>
      <c r="E894" s="5" t="s">
        <v>214</v>
      </c>
      <c r="F894" s="5" t="s">
        <v>215</v>
      </c>
    </row>
    <row r="895" spans="1:6" x14ac:dyDescent="0.25">
      <c r="A895" s="5">
        <v>43</v>
      </c>
      <c r="B895" s="5" t="s">
        <v>225</v>
      </c>
      <c r="C895" s="5">
        <f>2662.8+2662.8</f>
        <v>5325.6</v>
      </c>
      <c r="D895" s="5">
        <f t="shared" si="85"/>
        <v>5325.6</v>
      </c>
      <c r="E895" s="5" t="s">
        <v>214</v>
      </c>
      <c r="F895" s="5" t="s">
        <v>215</v>
      </c>
    </row>
    <row r="896" spans="1:6" x14ac:dyDescent="0.25">
      <c r="A896" s="5">
        <v>43</v>
      </c>
      <c r="B896" s="5" t="s">
        <v>226</v>
      </c>
      <c r="C896" s="5">
        <f>663.12+663.12</f>
        <v>1326.24</v>
      </c>
      <c r="D896" s="5">
        <f t="shared" si="85"/>
        <v>1326.24</v>
      </c>
      <c r="E896" s="5" t="s">
        <v>214</v>
      </c>
      <c r="F896" s="5" t="s">
        <v>215</v>
      </c>
    </row>
    <row r="897" spans="1:6" x14ac:dyDescent="0.25">
      <c r="A897" s="5">
        <v>43</v>
      </c>
      <c r="B897" s="5" t="s">
        <v>227</v>
      </c>
      <c r="C897" s="5">
        <v>0</v>
      </c>
      <c r="D897" s="5">
        <v>0</v>
      </c>
      <c r="E897" s="5" t="s">
        <v>214</v>
      </c>
      <c r="F897" s="5" t="s">
        <v>215</v>
      </c>
    </row>
    <row r="898" spans="1:6" x14ac:dyDescent="0.25">
      <c r="A898" s="5">
        <v>43</v>
      </c>
      <c r="B898" s="5" t="s">
        <v>228</v>
      </c>
      <c r="C898" s="5">
        <f>539.7+539.7</f>
        <v>1079.4000000000001</v>
      </c>
      <c r="D898" s="5">
        <f t="shared" si="85"/>
        <v>1079.4000000000001</v>
      </c>
      <c r="E898" s="5" t="s">
        <v>214</v>
      </c>
      <c r="F898" s="5" t="s">
        <v>215</v>
      </c>
    </row>
    <row r="899" spans="1:6" x14ac:dyDescent="0.25">
      <c r="A899" s="5">
        <v>43</v>
      </c>
      <c r="B899" s="5" t="s">
        <v>229</v>
      </c>
      <c r="C899" s="5">
        <f>187.2+187.2</f>
        <v>374.4</v>
      </c>
      <c r="D899" s="5">
        <f>174.04+174.04</f>
        <v>348.08</v>
      </c>
      <c r="E899" s="5" t="s">
        <v>214</v>
      </c>
      <c r="F899" s="5" t="s">
        <v>215</v>
      </c>
    </row>
    <row r="900" spans="1:6" x14ac:dyDescent="0.25">
      <c r="A900" s="5">
        <v>44</v>
      </c>
      <c r="B900" s="5" t="s">
        <v>222</v>
      </c>
      <c r="C900" s="5">
        <f>82339.8+82339.8</f>
        <v>164679.6</v>
      </c>
      <c r="D900" s="5">
        <f>65715.26+65715.26</f>
        <v>131430.51999999999</v>
      </c>
      <c r="E900" s="5" t="s">
        <v>214</v>
      </c>
      <c r="F900" s="5" t="s">
        <v>215</v>
      </c>
    </row>
    <row r="901" spans="1:6" x14ac:dyDescent="0.25">
      <c r="A901" s="5">
        <v>44</v>
      </c>
      <c r="B901" s="5" t="s">
        <v>223</v>
      </c>
      <c r="C901" s="5">
        <v>0</v>
      </c>
      <c r="D901" s="5">
        <f>+C901</f>
        <v>0</v>
      </c>
      <c r="E901" s="5" t="s">
        <v>214</v>
      </c>
      <c r="F901" s="5" t="s">
        <v>215</v>
      </c>
    </row>
    <row r="902" spans="1:6" x14ac:dyDescent="0.25">
      <c r="A902" s="5">
        <v>44</v>
      </c>
      <c r="B902" s="5" t="s">
        <v>224</v>
      </c>
      <c r="C902" s="5">
        <v>0</v>
      </c>
      <c r="D902" s="5">
        <f t="shared" ref="D902:D906" si="86">+C902</f>
        <v>0</v>
      </c>
      <c r="E902" s="5" t="s">
        <v>214</v>
      </c>
      <c r="F902" s="5" t="s">
        <v>215</v>
      </c>
    </row>
    <row r="903" spans="1:6" x14ac:dyDescent="0.25">
      <c r="A903" s="5">
        <v>44</v>
      </c>
      <c r="B903" s="5" t="s">
        <v>225</v>
      </c>
      <c r="C903" s="5">
        <v>0</v>
      </c>
      <c r="D903" s="5">
        <f t="shared" si="86"/>
        <v>0</v>
      </c>
      <c r="E903" s="5" t="s">
        <v>214</v>
      </c>
      <c r="F903" s="5" t="s">
        <v>215</v>
      </c>
    </row>
    <row r="904" spans="1:6" x14ac:dyDescent="0.25">
      <c r="A904" s="5">
        <v>44</v>
      </c>
      <c r="B904" s="5" t="s">
        <v>226</v>
      </c>
      <c r="C904" s="5">
        <v>0</v>
      </c>
      <c r="D904" s="5">
        <f t="shared" si="86"/>
        <v>0</v>
      </c>
      <c r="E904" s="5" t="s">
        <v>214</v>
      </c>
      <c r="F904" s="5" t="s">
        <v>215</v>
      </c>
    </row>
    <row r="905" spans="1:6" x14ac:dyDescent="0.25">
      <c r="A905" s="5">
        <v>44</v>
      </c>
      <c r="B905" s="5" t="s">
        <v>227</v>
      </c>
      <c r="C905" s="5">
        <v>0</v>
      </c>
      <c r="D905" s="5">
        <v>0</v>
      </c>
      <c r="E905" s="5" t="s">
        <v>214</v>
      </c>
      <c r="F905" s="5" t="s">
        <v>215</v>
      </c>
    </row>
    <row r="906" spans="1:6" x14ac:dyDescent="0.25">
      <c r="A906" s="5">
        <v>44</v>
      </c>
      <c r="B906" s="5" t="s">
        <v>228</v>
      </c>
      <c r="C906" s="5">
        <v>0</v>
      </c>
      <c r="D906" s="5">
        <f t="shared" si="86"/>
        <v>0</v>
      </c>
      <c r="E906" s="5" t="s">
        <v>214</v>
      </c>
      <c r="F906" s="5" t="s">
        <v>215</v>
      </c>
    </row>
    <row r="907" spans="1:6" x14ac:dyDescent="0.25">
      <c r="A907" s="5">
        <v>44</v>
      </c>
      <c r="B907" s="5" t="s">
        <v>229</v>
      </c>
      <c r="C907" s="5">
        <v>0</v>
      </c>
      <c r="D907" s="5">
        <v>0</v>
      </c>
      <c r="E907" s="5" t="s">
        <v>214</v>
      </c>
      <c r="F907" s="5" t="s">
        <v>215</v>
      </c>
    </row>
    <row r="908" spans="1:6" x14ac:dyDescent="0.25">
      <c r="A908" s="5">
        <v>45</v>
      </c>
      <c r="B908" s="5" t="s">
        <v>222</v>
      </c>
      <c r="C908" s="5">
        <f>22380.65+22129.18</f>
        <v>44509.83</v>
      </c>
      <c r="D908" s="5">
        <f>20050.37+19958.19</f>
        <v>40008.559999999998</v>
      </c>
      <c r="E908" s="5" t="s">
        <v>214</v>
      </c>
      <c r="F908" s="5" t="s">
        <v>215</v>
      </c>
    </row>
    <row r="909" spans="1:6" x14ac:dyDescent="0.25">
      <c r="A909" s="5">
        <v>45</v>
      </c>
      <c r="B909" s="5" t="s">
        <v>223</v>
      </c>
      <c r="C909" s="5">
        <f>434.91+430.03</f>
        <v>864.94</v>
      </c>
      <c r="D909" s="5">
        <f>+C909</f>
        <v>864.94</v>
      </c>
      <c r="E909" s="5" t="s">
        <v>214</v>
      </c>
      <c r="F909" s="5" t="s">
        <v>215</v>
      </c>
    </row>
    <row r="910" spans="1:6" x14ac:dyDescent="0.25">
      <c r="A910" s="5">
        <v>45</v>
      </c>
      <c r="B910" s="5" t="s">
        <v>224</v>
      </c>
      <c r="C910" s="5">
        <f>322.48+318.85</f>
        <v>641.33000000000004</v>
      </c>
      <c r="D910" s="5">
        <f t="shared" ref="D910:D914" si="87">+C910</f>
        <v>641.33000000000004</v>
      </c>
      <c r="E910" s="5" t="s">
        <v>214</v>
      </c>
      <c r="F910" s="5" t="s">
        <v>215</v>
      </c>
    </row>
    <row r="911" spans="1:6" x14ac:dyDescent="0.25">
      <c r="A911" s="5">
        <v>45</v>
      </c>
      <c r="B911" s="5" t="s">
        <v>225</v>
      </c>
      <c r="C911" s="5">
        <f>2633.21+2603.63</f>
        <v>5236.84</v>
      </c>
      <c r="D911" s="5">
        <f t="shared" si="87"/>
        <v>5236.84</v>
      </c>
      <c r="E911" s="5" t="s">
        <v>214</v>
      </c>
      <c r="F911" s="5" t="s">
        <v>215</v>
      </c>
    </row>
    <row r="912" spans="1:6" x14ac:dyDescent="0.25">
      <c r="A912" s="5">
        <v>45</v>
      </c>
      <c r="B912" s="5" t="s">
        <v>226</v>
      </c>
      <c r="C912" s="5">
        <f>655.75+648.38</f>
        <v>1304.1300000000001</v>
      </c>
      <c r="D912" s="5">
        <f t="shared" si="87"/>
        <v>1304.1300000000001</v>
      </c>
      <c r="E912" s="5" t="s">
        <v>214</v>
      </c>
      <c r="F912" s="5" t="s">
        <v>215</v>
      </c>
    </row>
    <row r="913" spans="1:6" x14ac:dyDescent="0.25">
      <c r="A913" s="5">
        <v>45</v>
      </c>
      <c r="B913" s="5" t="s">
        <v>227</v>
      </c>
      <c r="C913" s="5">
        <f>2520.84+2492.51</f>
        <v>5013.3500000000004</v>
      </c>
      <c r="D913" s="5">
        <f>2258.37+2247.98</f>
        <v>4506.3500000000004</v>
      </c>
      <c r="E913" s="5" t="s">
        <v>214</v>
      </c>
      <c r="F913" s="5" t="s">
        <v>215</v>
      </c>
    </row>
    <row r="914" spans="1:6" x14ac:dyDescent="0.25">
      <c r="A914" s="5">
        <v>45</v>
      </c>
      <c r="B914" s="5" t="s">
        <v>228</v>
      </c>
      <c r="C914" s="5">
        <f>533.7+527.7</f>
        <v>1061.4000000000001</v>
      </c>
      <c r="D914" s="5">
        <f t="shared" si="87"/>
        <v>1061.4000000000001</v>
      </c>
      <c r="E914" s="5" t="s">
        <v>214</v>
      </c>
      <c r="F914" s="5" t="s">
        <v>215</v>
      </c>
    </row>
    <row r="915" spans="1:6" x14ac:dyDescent="0.25">
      <c r="A915" s="5">
        <v>45</v>
      </c>
      <c r="B915" s="5" t="s">
        <v>229</v>
      </c>
      <c r="C915" s="5">
        <f>185.12+183.04</f>
        <v>368.15999999999997</v>
      </c>
      <c r="D915" s="5">
        <f>165.85+165.08</f>
        <v>330.93</v>
      </c>
      <c r="E915" s="5" t="s">
        <v>214</v>
      </c>
      <c r="F915" s="5" t="s">
        <v>215</v>
      </c>
    </row>
    <row r="916" spans="1:6" x14ac:dyDescent="0.25">
      <c r="A916" s="5">
        <v>46</v>
      </c>
      <c r="B916" s="5" t="s">
        <v>222</v>
      </c>
      <c r="C916" s="5">
        <f>19521.42+19521.42</f>
        <v>39042.839999999997</v>
      </c>
      <c r="D916" s="5">
        <f>17977.61+18116.3</f>
        <v>36093.910000000003</v>
      </c>
      <c r="E916" s="5" t="s">
        <v>214</v>
      </c>
      <c r="F916" s="5" t="s">
        <v>215</v>
      </c>
    </row>
    <row r="917" spans="1:6" x14ac:dyDescent="0.25">
      <c r="A917" s="5">
        <v>46</v>
      </c>
      <c r="B917" s="5" t="s">
        <v>223</v>
      </c>
      <c r="C917" s="5">
        <f>439.8+439.8</f>
        <v>879.6</v>
      </c>
      <c r="D917" s="5">
        <f>+C917</f>
        <v>879.6</v>
      </c>
      <c r="E917" s="5" t="s">
        <v>214</v>
      </c>
      <c r="F917" s="5" t="s">
        <v>215</v>
      </c>
    </row>
    <row r="918" spans="1:6" x14ac:dyDescent="0.25">
      <c r="A918" s="5">
        <v>46</v>
      </c>
      <c r="B918" s="5" t="s">
        <v>224</v>
      </c>
      <c r="C918" s="5">
        <f>326.1+326.1</f>
        <v>652.20000000000005</v>
      </c>
      <c r="D918" s="5">
        <f t="shared" ref="D918:D922" si="88">+C918</f>
        <v>652.20000000000005</v>
      </c>
      <c r="E918" s="5" t="s">
        <v>214</v>
      </c>
      <c r="F918" s="5" t="s">
        <v>215</v>
      </c>
    </row>
    <row r="919" spans="1:6" x14ac:dyDescent="0.25">
      <c r="A919" s="5">
        <v>46</v>
      </c>
      <c r="B919" s="5" t="s">
        <v>225</v>
      </c>
      <c r="C919" s="5">
        <f>2662.8+2662.8</f>
        <v>5325.6</v>
      </c>
      <c r="D919" s="5">
        <f t="shared" si="88"/>
        <v>5325.6</v>
      </c>
      <c r="E919" s="5" t="s">
        <v>214</v>
      </c>
      <c r="F919" s="5" t="s">
        <v>215</v>
      </c>
    </row>
    <row r="920" spans="1:6" x14ac:dyDescent="0.25">
      <c r="A920" s="5">
        <v>46</v>
      </c>
      <c r="B920" s="5" t="s">
        <v>226</v>
      </c>
      <c r="C920" s="5">
        <f>663.12+663.12</f>
        <v>1326.24</v>
      </c>
      <c r="D920" s="5">
        <f t="shared" si="88"/>
        <v>1326.24</v>
      </c>
      <c r="E920" s="5" t="s">
        <v>214</v>
      </c>
      <c r="F920" s="5" t="s">
        <v>215</v>
      </c>
    </row>
    <row r="921" spans="1:6" x14ac:dyDescent="0.25">
      <c r="A921" s="5">
        <v>46</v>
      </c>
      <c r="B921" s="5" t="s">
        <v>227</v>
      </c>
      <c r="C921" s="5">
        <f>5659.86+5659.86</f>
        <v>11319.72</v>
      </c>
      <c r="D921" s="5">
        <f>5212.26+5252.47</f>
        <v>10464.73</v>
      </c>
      <c r="E921" s="5" t="s">
        <v>214</v>
      </c>
      <c r="F921" s="5" t="s">
        <v>215</v>
      </c>
    </row>
    <row r="922" spans="1:6" x14ac:dyDescent="0.25">
      <c r="A922" s="5">
        <v>46</v>
      </c>
      <c r="B922" s="5" t="s">
        <v>228</v>
      </c>
      <c r="C922" s="5">
        <f>539.7+539.7</f>
        <v>1079.4000000000001</v>
      </c>
      <c r="D922" s="5">
        <f t="shared" si="88"/>
        <v>1079.4000000000001</v>
      </c>
      <c r="E922" s="5" t="s">
        <v>214</v>
      </c>
      <c r="F922" s="5" t="s">
        <v>215</v>
      </c>
    </row>
    <row r="923" spans="1:6" x14ac:dyDescent="0.25">
      <c r="A923" s="5">
        <v>46</v>
      </c>
      <c r="B923" s="5" t="s">
        <v>229</v>
      </c>
      <c r="C923" s="5">
        <f>187.2+187.2</f>
        <v>374.4</v>
      </c>
      <c r="D923" s="5">
        <f>172.4+173.73</f>
        <v>346.13</v>
      </c>
      <c r="E923" s="5" t="s">
        <v>214</v>
      </c>
      <c r="F923" s="5" t="s">
        <v>215</v>
      </c>
    </row>
    <row r="924" spans="1:6" x14ac:dyDescent="0.25">
      <c r="A924" s="5">
        <v>47</v>
      </c>
      <c r="B924" s="5" t="s">
        <v>222</v>
      </c>
      <c r="C924" s="5">
        <f>19521.42+19521.42</f>
        <v>39042.839999999997</v>
      </c>
      <c r="D924" s="5">
        <f>17977.61+18116.3</f>
        <v>36093.910000000003</v>
      </c>
      <c r="E924" s="5" t="s">
        <v>214</v>
      </c>
      <c r="F924" s="5" t="s">
        <v>215</v>
      </c>
    </row>
    <row r="925" spans="1:6" x14ac:dyDescent="0.25">
      <c r="A925" s="5">
        <v>47</v>
      </c>
      <c r="B925" s="5" t="s">
        <v>223</v>
      </c>
      <c r="C925" s="5">
        <f>439.8+439.8</f>
        <v>879.6</v>
      </c>
      <c r="D925" s="5">
        <f>+C925</f>
        <v>879.6</v>
      </c>
      <c r="E925" s="5" t="s">
        <v>214</v>
      </c>
      <c r="F925" s="5" t="s">
        <v>215</v>
      </c>
    </row>
    <row r="926" spans="1:6" x14ac:dyDescent="0.25">
      <c r="A926" s="5">
        <v>47</v>
      </c>
      <c r="B926" s="5" t="s">
        <v>224</v>
      </c>
      <c r="C926" s="5">
        <f>326.1+326.1</f>
        <v>652.20000000000005</v>
      </c>
      <c r="D926" s="5">
        <f t="shared" ref="D926:D930" si="89">+C926</f>
        <v>652.20000000000005</v>
      </c>
      <c r="E926" s="5" t="s">
        <v>214</v>
      </c>
      <c r="F926" s="5" t="s">
        <v>215</v>
      </c>
    </row>
    <row r="927" spans="1:6" x14ac:dyDescent="0.25">
      <c r="A927" s="5">
        <v>47</v>
      </c>
      <c r="B927" s="5" t="s">
        <v>225</v>
      </c>
      <c r="C927" s="5">
        <f>2662.8+2662.8</f>
        <v>5325.6</v>
      </c>
      <c r="D927" s="5">
        <f t="shared" si="89"/>
        <v>5325.6</v>
      </c>
      <c r="E927" s="5" t="s">
        <v>214</v>
      </c>
      <c r="F927" s="5" t="s">
        <v>215</v>
      </c>
    </row>
    <row r="928" spans="1:6" x14ac:dyDescent="0.25">
      <c r="A928" s="5">
        <v>47</v>
      </c>
      <c r="B928" s="5" t="s">
        <v>226</v>
      </c>
      <c r="C928" s="5">
        <f>663.12+663.12</f>
        <v>1326.24</v>
      </c>
      <c r="D928" s="5">
        <f t="shared" si="89"/>
        <v>1326.24</v>
      </c>
      <c r="E928" s="5" t="s">
        <v>214</v>
      </c>
      <c r="F928" s="5" t="s">
        <v>215</v>
      </c>
    </row>
    <row r="929" spans="1:6" x14ac:dyDescent="0.25">
      <c r="A929" s="5">
        <v>47</v>
      </c>
      <c r="B929" s="5" t="s">
        <v>227</v>
      </c>
      <c r="C929" s="5">
        <f>5659.86+5659.86</f>
        <v>11319.72</v>
      </c>
      <c r="D929" s="5">
        <f>5212.26+5252.47</f>
        <v>10464.73</v>
      </c>
      <c r="E929" s="5" t="s">
        <v>214</v>
      </c>
      <c r="F929" s="5" t="s">
        <v>215</v>
      </c>
    </row>
    <row r="930" spans="1:6" x14ac:dyDescent="0.25">
      <c r="A930" s="5">
        <v>47</v>
      </c>
      <c r="B930" s="5" t="s">
        <v>228</v>
      </c>
      <c r="C930" s="5">
        <f>539.7+539.7</f>
        <v>1079.4000000000001</v>
      </c>
      <c r="D930" s="5">
        <f t="shared" si="89"/>
        <v>1079.4000000000001</v>
      </c>
      <c r="E930" s="5" t="s">
        <v>214</v>
      </c>
      <c r="F930" s="5" t="s">
        <v>215</v>
      </c>
    </row>
    <row r="931" spans="1:6" x14ac:dyDescent="0.25">
      <c r="A931" s="5">
        <v>47</v>
      </c>
      <c r="B931" s="5" t="s">
        <v>229</v>
      </c>
      <c r="C931" s="5">
        <f>187.2+187.2</f>
        <v>374.4</v>
      </c>
      <c r="D931" s="5">
        <f>172.4+173.73</f>
        <v>346.13</v>
      </c>
      <c r="E931" s="5" t="s">
        <v>214</v>
      </c>
      <c r="F931" s="5" t="s">
        <v>215</v>
      </c>
    </row>
    <row r="932" spans="1:6" x14ac:dyDescent="0.25">
      <c r="A932" s="5">
        <v>48</v>
      </c>
      <c r="B932" s="5" t="s">
        <v>222</v>
      </c>
      <c r="C932" s="5">
        <f>22632.12+22632.12</f>
        <v>45264.24</v>
      </c>
      <c r="D932" s="5">
        <f>20173.95+20268.9</f>
        <v>40442.850000000006</v>
      </c>
      <c r="E932" s="5" t="s">
        <v>214</v>
      </c>
      <c r="F932" s="5" t="s">
        <v>215</v>
      </c>
    </row>
    <row r="933" spans="1:6" x14ac:dyDescent="0.25">
      <c r="A933" s="5">
        <v>48</v>
      </c>
      <c r="B933" s="5" t="s">
        <v>223</v>
      </c>
      <c r="C933" s="5">
        <f>439.8+439.8</f>
        <v>879.6</v>
      </c>
      <c r="D933" s="5">
        <f>+C933</f>
        <v>879.6</v>
      </c>
      <c r="E933" s="5" t="s">
        <v>214</v>
      </c>
      <c r="F933" s="5" t="s">
        <v>215</v>
      </c>
    </row>
    <row r="934" spans="1:6" x14ac:dyDescent="0.25">
      <c r="A934" s="5">
        <v>48</v>
      </c>
      <c r="B934" s="5" t="s">
        <v>224</v>
      </c>
      <c r="C934" s="5">
        <f>326.1+326.1</f>
        <v>652.20000000000005</v>
      </c>
      <c r="D934" s="5">
        <f t="shared" ref="D934:D938" si="90">+C934</f>
        <v>652.20000000000005</v>
      </c>
      <c r="E934" s="5" t="s">
        <v>214</v>
      </c>
      <c r="F934" s="5" t="s">
        <v>215</v>
      </c>
    </row>
    <row r="935" spans="1:6" x14ac:dyDescent="0.25">
      <c r="A935" s="5">
        <v>48</v>
      </c>
      <c r="B935" s="5" t="s">
        <v>225</v>
      </c>
      <c r="C935" s="5">
        <f>2662.8+2662.8</f>
        <v>5325.6</v>
      </c>
      <c r="D935" s="5">
        <f t="shared" si="90"/>
        <v>5325.6</v>
      </c>
      <c r="E935" s="5" t="s">
        <v>214</v>
      </c>
      <c r="F935" s="5" t="s">
        <v>215</v>
      </c>
    </row>
    <row r="936" spans="1:6" x14ac:dyDescent="0.25">
      <c r="A936" s="5">
        <v>48</v>
      </c>
      <c r="B936" s="5" t="s">
        <v>226</v>
      </c>
      <c r="C936" s="5">
        <f>663.12+663.12</f>
        <v>1326.24</v>
      </c>
      <c r="D936" s="5">
        <f t="shared" si="90"/>
        <v>1326.24</v>
      </c>
      <c r="E936" s="5" t="s">
        <v>214</v>
      </c>
      <c r="F936" s="5" t="s">
        <v>215</v>
      </c>
    </row>
    <row r="937" spans="1:6" x14ac:dyDescent="0.25">
      <c r="A937" s="5">
        <v>48</v>
      </c>
      <c r="B937" s="5" t="s">
        <v>227</v>
      </c>
      <c r="C937" s="5">
        <f>8549.16+8549.14</f>
        <v>17098.3</v>
      </c>
      <c r="D937" s="5">
        <f>7620.6+7656.45</f>
        <v>15277.05</v>
      </c>
      <c r="E937" s="5" t="s">
        <v>214</v>
      </c>
      <c r="F937" s="5" t="s">
        <v>215</v>
      </c>
    </row>
    <row r="938" spans="1:6" x14ac:dyDescent="0.25">
      <c r="A938" s="5">
        <v>48</v>
      </c>
      <c r="B938" s="5" t="s">
        <v>228</v>
      </c>
      <c r="C938" s="5">
        <f>539.7+539.7</f>
        <v>1079.4000000000001</v>
      </c>
      <c r="D938" s="5">
        <f t="shared" si="90"/>
        <v>1079.4000000000001</v>
      </c>
      <c r="E938" s="5" t="s">
        <v>214</v>
      </c>
      <c r="F938" s="5" t="s">
        <v>215</v>
      </c>
    </row>
    <row r="939" spans="1:6" x14ac:dyDescent="0.25">
      <c r="A939" s="5">
        <v>48</v>
      </c>
      <c r="B939" s="5" t="s">
        <v>229</v>
      </c>
      <c r="C939" s="5">
        <f>187.2+187.2</f>
        <v>374.4</v>
      </c>
      <c r="D939" s="5">
        <f>166.87+167.65</f>
        <v>334.52</v>
      </c>
      <c r="E939" s="5" t="s">
        <v>214</v>
      </c>
      <c r="F939" s="5" t="s">
        <v>215</v>
      </c>
    </row>
    <row r="940" spans="1:6" x14ac:dyDescent="0.25">
      <c r="A940" s="5">
        <v>49</v>
      </c>
      <c r="B940" s="5" t="s">
        <v>222</v>
      </c>
      <c r="C940" s="5">
        <f>101978.4+94046.75</f>
        <v>196025.15</v>
      </c>
      <c r="D940" s="5">
        <f>80001.72+74117.26</f>
        <v>154118.97999999998</v>
      </c>
      <c r="E940" s="5" t="s">
        <v>214</v>
      </c>
      <c r="F940" s="5" t="s">
        <v>215</v>
      </c>
    </row>
    <row r="941" spans="1:6" x14ac:dyDescent="0.25">
      <c r="A941" s="5">
        <v>49</v>
      </c>
      <c r="B941" s="5" t="s">
        <v>223</v>
      </c>
      <c r="C941" s="5">
        <v>0</v>
      </c>
      <c r="D941" s="5">
        <f>+C941</f>
        <v>0</v>
      </c>
      <c r="E941" s="5" t="s">
        <v>214</v>
      </c>
      <c r="F941" s="5" t="s">
        <v>215</v>
      </c>
    </row>
    <row r="942" spans="1:6" x14ac:dyDescent="0.25">
      <c r="A942" s="5">
        <v>49</v>
      </c>
      <c r="B942" s="5" t="s">
        <v>224</v>
      </c>
      <c r="C942" s="5">
        <v>0</v>
      </c>
      <c r="D942" s="5">
        <f t="shared" ref="D942:D944" si="91">+C942</f>
        <v>0</v>
      </c>
      <c r="E942" s="5" t="s">
        <v>214</v>
      </c>
      <c r="F942" s="5" t="s">
        <v>215</v>
      </c>
    </row>
    <row r="943" spans="1:6" x14ac:dyDescent="0.25">
      <c r="A943" s="5">
        <v>49</v>
      </c>
      <c r="B943" s="5" t="s">
        <v>225</v>
      </c>
      <c r="C943" s="5">
        <v>0</v>
      </c>
      <c r="D943" s="5">
        <f t="shared" si="91"/>
        <v>0</v>
      </c>
      <c r="E943" s="5" t="s">
        <v>214</v>
      </c>
      <c r="F943" s="5" t="s">
        <v>215</v>
      </c>
    </row>
    <row r="944" spans="1:6" x14ac:dyDescent="0.25">
      <c r="A944" s="5">
        <v>49</v>
      </c>
      <c r="B944" s="5" t="s">
        <v>226</v>
      </c>
      <c r="C944" s="5">
        <v>0</v>
      </c>
      <c r="D944" s="5">
        <f t="shared" si="91"/>
        <v>0</v>
      </c>
      <c r="E944" s="5" t="s">
        <v>214</v>
      </c>
      <c r="F944" s="5" t="s">
        <v>215</v>
      </c>
    </row>
    <row r="945" spans="1:6" x14ac:dyDescent="0.25">
      <c r="A945" s="5">
        <v>49</v>
      </c>
      <c r="B945" s="5" t="s">
        <v>227</v>
      </c>
      <c r="C945" s="5">
        <v>0</v>
      </c>
      <c r="D945" s="5">
        <v>0</v>
      </c>
      <c r="E945" s="5" t="s">
        <v>214</v>
      </c>
      <c r="F945" s="5" t="s">
        <v>215</v>
      </c>
    </row>
    <row r="946" spans="1:6" x14ac:dyDescent="0.25">
      <c r="A946" s="5">
        <v>49</v>
      </c>
      <c r="B946" s="5" t="s">
        <v>228</v>
      </c>
      <c r="C946" s="5">
        <v>0</v>
      </c>
      <c r="D946" s="5">
        <v>0</v>
      </c>
      <c r="E946" s="5" t="s">
        <v>214</v>
      </c>
      <c r="F946" s="5" t="s">
        <v>215</v>
      </c>
    </row>
    <row r="947" spans="1:6" x14ac:dyDescent="0.25">
      <c r="A947" s="5">
        <v>49</v>
      </c>
      <c r="B947" s="5" t="s">
        <v>229</v>
      </c>
      <c r="C947" s="5">
        <v>0</v>
      </c>
      <c r="D947" s="5">
        <v>0</v>
      </c>
      <c r="E947" s="5" t="s">
        <v>214</v>
      </c>
      <c r="F947" s="5" t="s">
        <v>215</v>
      </c>
    </row>
    <row r="948" spans="1:6" x14ac:dyDescent="0.25">
      <c r="A948" s="5">
        <v>50</v>
      </c>
      <c r="B948" s="5" t="s">
        <v>222</v>
      </c>
      <c r="C948" s="5">
        <f>19521.42+19521.42</f>
        <v>39042.839999999997</v>
      </c>
      <c r="D948" s="5">
        <f>18149.3+18149.3</f>
        <v>36298.6</v>
      </c>
      <c r="E948" s="5" t="s">
        <v>214</v>
      </c>
      <c r="F948" s="5" t="s">
        <v>215</v>
      </c>
    </row>
    <row r="949" spans="1:6" x14ac:dyDescent="0.25">
      <c r="A949" s="5">
        <v>50</v>
      </c>
      <c r="B949" s="5" t="s">
        <v>223</v>
      </c>
      <c r="C949" s="5">
        <f>439.8+439.8</f>
        <v>879.6</v>
      </c>
      <c r="D949" s="5">
        <f>+C949</f>
        <v>879.6</v>
      </c>
      <c r="E949" s="5" t="s">
        <v>214</v>
      </c>
      <c r="F949" s="5" t="s">
        <v>215</v>
      </c>
    </row>
    <row r="950" spans="1:6" x14ac:dyDescent="0.25">
      <c r="A950" s="5">
        <v>50</v>
      </c>
      <c r="B950" s="5" t="s">
        <v>224</v>
      </c>
      <c r="C950" s="5">
        <f>326.1+326.1</f>
        <v>652.20000000000005</v>
      </c>
      <c r="D950" s="5">
        <f t="shared" ref="D950:D954" si="92">+C950</f>
        <v>652.20000000000005</v>
      </c>
      <c r="E950" s="5" t="s">
        <v>214</v>
      </c>
      <c r="F950" s="5" t="s">
        <v>215</v>
      </c>
    </row>
    <row r="951" spans="1:6" x14ac:dyDescent="0.25">
      <c r="A951" s="5">
        <v>50</v>
      </c>
      <c r="B951" s="5" t="s">
        <v>225</v>
      </c>
      <c r="C951" s="5">
        <f>2662.8+2662.8</f>
        <v>5325.6</v>
      </c>
      <c r="D951" s="5">
        <f t="shared" si="92"/>
        <v>5325.6</v>
      </c>
      <c r="E951" s="5" t="s">
        <v>214</v>
      </c>
      <c r="F951" s="5" t="s">
        <v>215</v>
      </c>
    </row>
    <row r="952" spans="1:6" x14ac:dyDescent="0.25">
      <c r="A952" s="5">
        <v>50</v>
      </c>
      <c r="B952" s="5" t="s">
        <v>226</v>
      </c>
      <c r="C952" s="5">
        <f>663.12+663.12</f>
        <v>1326.24</v>
      </c>
      <c r="D952" s="5">
        <f t="shared" si="92"/>
        <v>1326.24</v>
      </c>
      <c r="E952" s="5" t="s">
        <v>214</v>
      </c>
      <c r="F952" s="5" t="s">
        <v>215</v>
      </c>
    </row>
    <row r="953" spans="1:6" x14ac:dyDescent="0.25">
      <c r="A953" s="5">
        <v>50</v>
      </c>
      <c r="B953" s="5" t="s">
        <v>227</v>
      </c>
      <c r="C953" s="5">
        <v>0</v>
      </c>
      <c r="D953" s="5">
        <v>0</v>
      </c>
      <c r="E953" s="5" t="s">
        <v>214</v>
      </c>
      <c r="F953" s="5" t="s">
        <v>215</v>
      </c>
    </row>
    <row r="954" spans="1:6" x14ac:dyDescent="0.25">
      <c r="A954" s="5">
        <v>50</v>
      </c>
      <c r="B954" s="5" t="s">
        <v>228</v>
      </c>
      <c r="C954" s="5">
        <f>539.7+539.7</f>
        <v>1079.4000000000001</v>
      </c>
      <c r="D954" s="5">
        <f t="shared" si="92"/>
        <v>1079.4000000000001</v>
      </c>
      <c r="E954" s="5" t="s">
        <v>214</v>
      </c>
      <c r="F954" s="5" t="s">
        <v>215</v>
      </c>
    </row>
    <row r="955" spans="1:6" x14ac:dyDescent="0.25">
      <c r="A955" s="5">
        <v>50</v>
      </c>
      <c r="B955" s="5" t="s">
        <v>229</v>
      </c>
      <c r="C955" s="5">
        <f>187.2+187.2</f>
        <v>374.4</v>
      </c>
      <c r="D955" s="5">
        <f>174.04+174.04</f>
        <v>348.08</v>
      </c>
      <c r="E955" s="5" t="s">
        <v>214</v>
      </c>
      <c r="F955" s="5" t="s">
        <v>215</v>
      </c>
    </row>
    <row r="956" spans="1:6" x14ac:dyDescent="0.25">
      <c r="A956" s="5">
        <v>51</v>
      </c>
      <c r="B956" s="5" t="s">
        <v>222</v>
      </c>
      <c r="C956" s="5">
        <f>21983.44+23005.92</f>
        <v>44989.36</v>
      </c>
      <c r="D956" s="5">
        <f>19199.22+20227.29</f>
        <v>39426.51</v>
      </c>
      <c r="E956" s="5" t="s">
        <v>214</v>
      </c>
      <c r="F956" s="5" t="s">
        <v>215</v>
      </c>
    </row>
    <row r="957" spans="1:6" x14ac:dyDescent="0.25">
      <c r="A957" s="5">
        <v>51</v>
      </c>
      <c r="B957" s="5" t="s">
        <v>223</v>
      </c>
      <c r="C957" s="5">
        <f>420.25+439.8</f>
        <v>860.05</v>
      </c>
      <c r="D957" s="5">
        <f>+C957</f>
        <v>860.05</v>
      </c>
      <c r="E957" s="5" t="s">
        <v>214</v>
      </c>
      <c r="F957" s="5" t="s">
        <v>215</v>
      </c>
    </row>
    <row r="958" spans="1:6" x14ac:dyDescent="0.25">
      <c r="A958" s="5">
        <v>51</v>
      </c>
      <c r="B958" s="5" t="s">
        <v>224</v>
      </c>
      <c r="C958" s="5">
        <f>311.61+326.1</f>
        <v>637.71</v>
      </c>
      <c r="D958" s="5">
        <f t="shared" ref="D958:D962" si="93">+C958</f>
        <v>637.71</v>
      </c>
      <c r="E958" s="5" t="s">
        <v>214</v>
      </c>
      <c r="F958" s="5" t="s">
        <v>215</v>
      </c>
    </row>
    <row r="959" spans="1:6" x14ac:dyDescent="0.25">
      <c r="A959" s="5">
        <v>51</v>
      </c>
      <c r="B959" s="5" t="s">
        <v>225</v>
      </c>
      <c r="C959" s="5">
        <f>2544.45+2662.8</f>
        <v>5207.25</v>
      </c>
      <c r="D959" s="5">
        <f t="shared" si="93"/>
        <v>5207.25</v>
      </c>
      <c r="E959" s="5" t="s">
        <v>214</v>
      </c>
      <c r="F959" s="5" t="s">
        <v>215</v>
      </c>
    </row>
    <row r="960" spans="1:6" x14ac:dyDescent="0.25">
      <c r="A960" s="5">
        <v>51</v>
      </c>
      <c r="B960" s="5" t="s">
        <v>226</v>
      </c>
      <c r="C960" s="5">
        <f>633.65+663.12</f>
        <v>1296.77</v>
      </c>
      <c r="D960" s="5">
        <f t="shared" si="93"/>
        <v>1296.77</v>
      </c>
      <c r="E960" s="5" t="s">
        <v>214</v>
      </c>
      <c r="F960" s="5" t="s">
        <v>215</v>
      </c>
    </row>
    <row r="961" spans="1:6" x14ac:dyDescent="0.25">
      <c r="A961" s="5">
        <v>51</v>
      </c>
      <c r="B961" s="5" t="s">
        <v>227</v>
      </c>
      <c r="C961" s="5">
        <v>0</v>
      </c>
      <c r="D961" s="5">
        <v>0</v>
      </c>
      <c r="E961" s="5" t="s">
        <v>214</v>
      </c>
      <c r="F961" s="5" t="s">
        <v>215</v>
      </c>
    </row>
    <row r="962" spans="1:6" x14ac:dyDescent="0.25">
      <c r="A962" s="5">
        <v>51</v>
      </c>
      <c r="B962" s="5" t="s">
        <v>228</v>
      </c>
      <c r="C962" s="5">
        <f>515.71+539.7</f>
        <v>1055.4100000000001</v>
      </c>
      <c r="D962" s="5">
        <f t="shared" si="93"/>
        <v>1055.4100000000001</v>
      </c>
      <c r="E962" s="5" t="s">
        <v>214</v>
      </c>
      <c r="F962" s="5" t="s">
        <v>215</v>
      </c>
    </row>
    <row r="963" spans="1:6" x14ac:dyDescent="0.25">
      <c r="A963" s="5">
        <v>51</v>
      </c>
      <c r="B963" s="5" t="s">
        <v>229</v>
      </c>
      <c r="C963" s="5">
        <f>4477.57+4685.82</f>
        <v>9163.39</v>
      </c>
      <c r="D963" s="5">
        <f>3910.48+4119.87</f>
        <v>8030.35</v>
      </c>
      <c r="E963" s="5" t="s">
        <v>214</v>
      </c>
      <c r="F963" s="5" t="s">
        <v>215</v>
      </c>
    </row>
    <row r="964" spans="1:6" x14ac:dyDescent="0.25">
      <c r="A964" s="5">
        <v>52</v>
      </c>
      <c r="B964" s="5" t="s">
        <v>222</v>
      </c>
      <c r="C964" s="5">
        <f>18436.91+18436.91</f>
        <v>36873.82</v>
      </c>
      <c r="D964" s="5">
        <f>17297.43+17297.43</f>
        <v>34594.86</v>
      </c>
      <c r="E964" s="5" t="s">
        <v>214</v>
      </c>
      <c r="F964" s="5" t="s">
        <v>215</v>
      </c>
    </row>
    <row r="965" spans="1:6" x14ac:dyDescent="0.25">
      <c r="A965" s="5">
        <v>52</v>
      </c>
      <c r="B965" s="5" t="s">
        <v>223</v>
      </c>
      <c r="C965" s="5">
        <f>415.36+415.36</f>
        <v>830.72</v>
      </c>
      <c r="D965" s="5">
        <f>+C965</f>
        <v>830.72</v>
      </c>
      <c r="E965" s="5" t="s">
        <v>214</v>
      </c>
      <c r="F965" s="5" t="s">
        <v>215</v>
      </c>
    </row>
    <row r="966" spans="1:6" x14ac:dyDescent="0.25">
      <c r="A966" s="5">
        <v>52</v>
      </c>
      <c r="B966" s="5" t="s">
        <v>224</v>
      </c>
      <c r="C966" s="5">
        <f>307.99+307.99</f>
        <v>615.98</v>
      </c>
      <c r="D966" s="5">
        <f t="shared" ref="D966:D970" si="94">+C966</f>
        <v>615.98</v>
      </c>
      <c r="E966" s="5" t="s">
        <v>214</v>
      </c>
      <c r="F966" s="5" t="s">
        <v>215</v>
      </c>
    </row>
    <row r="967" spans="1:6" x14ac:dyDescent="0.25">
      <c r="A967" s="5">
        <v>52</v>
      </c>
      <c r="B967" s="5" t="s">
        <v>225</v>
      </c>
      <c r="C967" s="5">
        <f>2514.86+2514.86</f>
        <v>5029.72</v>
      </c>
      <c r="D967" s="5">
        <f t="shared" si="94"/>
        <v>5029.72</v>
      </c>
      <c r="E967" s="5" t="s">
        <v>214</v>
      </c>
      <c r="F967" s="5" t="s">
        <v>215</v>
      </c>
    </row>
    <row r="968" spans="1:6" x14ac:dyDescent="0.25">
      <c r="A968" s="5">
        <v>52</v>
      </c>
      <c r="B968" s="5" t="s">
        <v>226</v>
      </c>
      <c r="C968" s="5">
        <f>626.28+626.28</f>
        <v>1252.56</v>
      </c>
      <c r="D968" s="5">
        <f t="shared" si="94"/>
        <v>1252.56</v>
      </c>
      <c r="E968" s="5" t="s">
        <v>214</v>
      </c>
      <c r="F968" s="5" t="s">
        <v>215</v>
      </c>
    </row>
    <row r="969" spans="1:6" x14ac:dyDescent="0.25">
      <c r="A969" s="5">
        <v>52</v>
      </c>
      <c r="B969" s="5" t="s">
        <v>227</v>
      </c>
      <c r="C969" s="5">
        <v>0</v>
      </c>
      <c r="D969" s="5">
        <v>0</v>
      </c>
      <c r="E969" s="5" t="s">
        <v>214</v>
      </c>
      <c r="F969" s="5" t="s">
        <v>215</v>
      </c>
    </row>
    <row r="970" spans="1:6" x14ac:dyDescent="0.25">
      <c r="A970" s="5">
        <v>52</v>
      </c>
      <c r="B970" s="5" t="s">
        <v>228</v>
      </c>
      <c r="C970" s="5">
        <f>509.71+509.71</f>
        <v>1019.42</v>
      </c>
      <c r="D970" s="5">
        <f t="shared" si="94"/>
        <v>1019.42</v>
      </c>
      <c r="E970" s="5" t="s">
        <v>214</v>
      </c>
      <c r="F970" s="5" t="s">
        <v>215</v>
      </c>
    </row>
    <row r="971" spans="1:6" x14ac:dyDescent="0.25">
      <c r="A971" s="5">
        <v>52</v>
      </c>
      <c r="B971" s="5" t="s">
        <v>229</v>
      </c>
      <c r="C971" s="5">
        <f>176.8+176.8</f>
        <v>353.6</v>
      </c>
      <c r="D971" s="5">
        <f>165.87+165.87</f>
        <v>331.74</v>
      </c>
      <c r="E971" s="5" t="s">
        <v>214</v>
      </c>
      <c r="F971" s="5" t="s">
        <v>215</v>
      </c>
    </row>
    <row r="972" spans="1:6" x14ac:dyDescent="0.25">
      <c r="A972" s="5">
        <v>53</v>
      </c>
      <c r="B972" s="5" t="s">
        <v>222</v>
      </c>
      <c r="C972" s="5">
        <f>19521.42+19521.42</f>
        <v>39042.839999999997</v>
      </c>
      <c r="D972" s="5">
        <f>17868.27+18043.03</f>
        <v>35911.300000000003</v>
      </c>
      <c r="E972" s="5" t="s">
        <v>214</v>
      </c>
      <c r="F972" s="5" t="s">
        <v>215</v>
      </c>
    </row>
    <row r="973" spans="1:6" x14ac:dyDescent="0.25">
      <c r="A973" s="5">
        <v>53</v>
      </c>
      <c r="B973" s="5" t="s">
        <v>223</v>
      </c>
      <c r="C973" s="5">
        <f>439.8+439.8</f>
        <v>879.6</v>
      </c>
      <c r="D973" s="5">
        <f>+C973</f>
        <v>879.6</v>
      </c>
      <c r="E973" s="5" t="s">
        <v>214</v>
      </c>
      <c r="F973" s="5" t="s">
        <v>215</v>
      </c>
    </row>
    <row r="974" spans="1:6" x14ac:dyDescent="0.25">
      <c r="A974" s="5">
        <v>53</v>
      </c>
      <c r="B974" s="5" t="s">
        <v>224</v>
      </c>
      <c r="C974" s="5">
        <f>326.1+326.1</f>
        <v>652.20000000000005</v>
      </c>
      <c r="D974" s="5">
        <f t="shared" ref="D974:D978" si="95">+C974</f>
        <v>652.20000000000005</v>
      </c>
      <c r="E974" s="5" t="s">
        <v>214</v>
      </c>
      <c r="F974" s="5" t="s">
        <v>215</v>
      </c>
    </row>
    <row r="975" spans="1:6" x14ac:dyDescent="0.25">
      <c r="A975" s="5">
        <v>53</v>
      </c>
      <c r="B975" s="5" t="s">
        <v>225</v>
      </c>
      <c r="C975" s="5">
        <f>2662.8+2662.8</f>
        <v>5325.6</v>
      </c>
      <c r="D975" s="5">
        <f t="shared" si="95"/>
        <v>5325.6</v>
      </c>
      <c r="E975" s="5" t="s">
        <v>214</v>
      </c>
      <c r="F975" s="5" t="s">
        <v>215</v>
      </c>
    </row>
    <row r="976" spans="1:6" x14ac:dyDescent="0.25">
      <c r="A976" s="5">
        <v>53</v>
      </c>
      <c r="B976" s="5" t="s">
        <v>226</v>
      </c>
      <c r="C976" s="5">
        <f>663.12+663.12</f>
        <v>1326.24</v>
      </c>
      <c r="D976" s="5">
        <f t="shared" si="95"/>
        <v>1326.24</v>
      </c>
      <c r="E976" s="5" t="s">
        <v>214</v>
      </c>
      <c r="F976" s="5" t="s">
        <v>215</v>
      </c>
    </row>
    <row r="977" spans="1:6" x14ac:dyDescent="0.25">
      <c r="A977" s="5">
        <v>53</v>
      </c>
      <c r="B977" s="5" t="s">
        <v>227</v>
      </c>
      <c r="C977" s="5">
        <f>11659.86+11659.86</f>
        <v>23319.72</v>
      </c>
      <c r="D977" s="5">
        <f>10672.46+10776.84</f>
        <v>21449.3</v>
      </c>
      <c r="E977" s="5" t="s">
        <v>214</v>
      </c>
      <c r="F977" s="5" t="s">
        <v>215</v>
      </c>
    </row>
    <row r="978" spans="1:6" x14ac:dyDescent="0.25">
      <c r="A978" s="5">
        <v>53</v>
      </c>
      <c r="B978" s="5" t="s">
        <v>228</v>
      </c>
      <c r="C978" s="5">
        <f>539.7+539.7</f>
        <v>1079.4000000000001</v>
      </c>
      <c r="D978" s="5">
        <f t="shared" si="95"/>
        <v>1079.4000000000001</v>
      </c>
      <c r="E978" s="5" t="s">
        <v>214</v>
      </c>
      <c r="F978" s="5" t="s">
        <v>215</v>
      </c>
    </row>
    <row r="979" spans="1:6" x14ac:dyDescent="0.25">
      <c r="A979" s="5">
        <v>53</v>
      </c>
      <c r="B979" s="5" t="s">
        <v>229</v>
      </c>
      <c r="C979" s="5">
        <f>187.2+187.2</f>
        <v>374.4</v>
      </c>
      <c r="D979" s="5">
        <f>171.35+173.02</f>
        <v>344.37</v>
      </c>
      <c r="E979" s="5" t="s">
        <v>214</v>
      </c>
      <c r="F979" s="5" t="s">
        <v>215</v>
      </c>
    </row>
    <row r="980" spans="1:6" x14ac:dyDescent="0.25">
      <c r="A980" s="5">
        <v>54</v>
      </c>
      <c r="B980" s="5" t="s">
        <v>222</v>
      </c>
      <c r="C980" s="5">
        <f>131871.6+131871.6</f>
        <v>263743.2</v>
      </c>
      <c r="D980" s="5">
        <f>100369.77+100369.77</f>
        <v>200739.54</v>
      </c>
      <c r="E980" s="5" t="s">
        <v>214</v>
      </c>
      <c r="F980" s="5" t="s">
        <v>215</v>
      </c>
    </row>
    <row r="981" spans="1:6" x14ac:dyDescent="0.25">
      <c r="A981" s="5">
        <v>54</v>
      </c>
      <c r="B981" s="5" t="s">
        <v>223</v>
      </c>
      <c r="C981" s="5">
        <v>0</v>
      </c>
      <c r="D981" s="5">
        <f>+C981</f>
        <v>0</v>
      </c>
      <c r="E981" s="5" t="s">
        <v>214</v>
      </c>
      <c r="F981" s="5" t="s">
        <v>215</v>
      </c>
    </row>
    <row r="982" spans="1:6" x14ac:dyDescent="0.25">
      <c r="A982" s="5">
        <v>54</v>
      </c>
      <c r="B982" s="5" t="s">
        <v>224</v>
      </c>
      <c r="C982" s="5">
        <v>0</v>
      </c>
      <c r="D982" s="5">
        <f t="shared" ref="D982:D984" si="96">+C982</f>
        <v>0</v>
      </c>
      <c r="E982" s="5" t="s">
        <v>214</v>
      </c>
      <c r="F982" s="5" t="s">
        <v>215</v>
      </c>
    </row>
    <row r="983" spans="1:6" x14ac:dyDescent="0.25">
      <c r="A983" s="5">
        <v>54</v>
      </c>
      <c r="B983" s="5" t="s">
        <v>225</v>
      </c>
      <c r="C983" s="5">
        <v>0</v>
      </c>
      <c r="D983" s="5">
        <f t="shared" si="96"/>
        <v>0</v>
      </c>
      <c r="E983" s="5" t="s">
        <v>214</v>
      </c>
      <c r="F983" s="5" t="s">
        <v>215</v>
      </c>
    </row>
    <row r="984" spans="1:6" x14ac:dyDescent="0.25">
      <c r="A984" s="5">
        <v>54</v>
      </c>
      <c r="B984" s="5" t="s">
        <v>226</v>
      </c>
      <c r="C984" s="5">
        <v>0</v>
      </c>
      <c r="D984" s="5">
        <f t="shared" si="96"/>
        <v>0</v>
      </c>
      <c r="E984" s="5" t="s">
        <v>214</v>
      </c>
      <c r="F984" s="5" t="s">
        <v>215</v>
      </c>
    </row>
    <row r="985" spans="1:6" x14ac:dyDescent="0.25">
      <c r="A985" s="5">
        <v>54</v>
      </c>
      <c r="B985" s="5" t="s">
        <v>227</v>
      </c>
      <c r="C985" s="5">
        <v>0</v>
      </c>
      <c r="D985" s="5">
        <v>0</v>
      </c>
      <c r="E985" s="5" t="s">
        <v>214</v>
      </c>
      <c r="F985" s="5" t="s">
        <v>215</v>
      </c>
    </row>
    <row r="986" spans="1:6" x14ac:dyDescent="0.25">
      <c r="A986" s="5">
        <v>54</v>
      </c>
      <c r="B986" s="5" t="s">
        <v>228</v>
      </c>
      <c r="C986" s="5">
        <v>0</v>
      </c>
      <c r="D986" s="5">
        <v>0</v>
      </c>
      <c r="E986" s="5" t="s">
        <v>214</v>
      </c>
      <c r="F986" s="5" t="s">
        <v>215</v>
      </c>
    </row>
    <row r="987" spans="1:6" x14ac:dyDescent="0.25">
      <c r="A987" s="5">
        <v>54</v>
      </c>
      <c r="B987" s="5" t="s">
        <v>229</v>
      </c>
      <c r="C987" s="5">
        <v>0</v>
      </c>
      <c r="D987" s="5">
        <v>0</v>
      </c>
      <c r="E987" s="5" t="s">
        <v>214</v>
      </c>
      <c r="F987" s="5" t="s">
        <v>215</v>
      </c>
    </row>
    <row r="988" spans="1:6" x14ac:dyDescent="0.25">
      <c r="A988" s="5">
        <v>55</v>
      </c>
      <c r="B988" s="5" t="s">
        <v>222</v>
      </c>
      <c r="C988" s="5">
        <f>19521.42+19521.42</f>
        <v>39042.839999999997</v>
      </c>
      <c r="D988" s="5">
        <f>18149.3+18149.3</f>
        <v>36298.6</v>
      </c>
      <c r="E988" s="5" t="s">
        <v>214</v>
      </c>
      <c r="F988" s="5" t="s">
        <v>215</v>
      </c>
    </row>
    <row r="989" spans="1:6" x14ac:dyDescent="0.25">
      <c r="A989" s="5">
        <v>55</v>
      </c>
      <c r="B989" s="5" t="s">
        <v>223</v>
      </c>
      <c r="C989" s="5">
        <f>439.8+439.8</f>
        <v>879.6</v>
      </c>
      <c r="D989" s="5">
        <f>+C989</f>
        <v>879.6</v>
      </c>
      <c r="E989" s="5" t="s">
        <v>214</v>
      </c>
      <c r="F989" s="5" t="s">
        <v>215</v>
      </c>
    </row>
    <row r="990" spans="1:6" x14ac:dyDescent="0.25">
      <c r="A990" s="5">
        <v>55</v>
      </c>
      <c r="B990" s="5" t="s">
        <v>224</v>
      </c>
      <c r="C990" s="5">
        <f>326.1+326.1</f>
        <v>652.20000000000005</v>
      </c>
      <c r="D990" s="5">
        <f t="shared" ref="D990:D994" si="97">+C990</f>
        <v>652.20000000000005</v>
      </c>
      <c r="E990" s="5" t="s">
        <v>214</v>
      </c>
      <c r="F990" s="5" t="s">
        <v>215</v>
      </c>
    </row>
    <row r="991" spans="1:6" x14ac:dyDescent="0.25">
      <c r="A991" s="5">
        <v>55</v>
      </c>
      <c r="B991" s="5" t="s">
        <v>225</v>
      </c>
      <c r="C991" s="5">
        <f>2662.8+2662.8</f>
        <v>5325.6</v>
      </c>
      <c r="D991" s="5">
        <f t="shared" si="97"/>
        <v>5325.6</v>
      </c>
      <c r="E991" s="5" t="s">
        <v>214</v>
      </c>
      <c r="F991" s="5" t="s">
        <v>215</v>
      </c>
    </row>
    <row r="992" spans="1:6" x14ac:dyDescent="0.25">
      <c r="A992" s="5">
        <v>55</v>
      </c>
      <c r="B992" s="5" t="s">
        <v>226</v>
      </c>
      <c r="C992" s="5">
        <f>663.12+663.12</f>
        <v>1326.24</v>
      </c>
      <c r="D992" s="5">
        <f t="shared" si="97"/>
        <v>1326.24</v>
      </c>
      <c r="E992" s="5" t="s">
        <v>214</v>
      </c>
      <c r="F992" s="5" t="s">
        <v>215</v>
      </c>
    </row>
    <row r="993" spans="1:6" x14ac:dyDescent="0.25">
      <c r="A993" s="5">
        <v>55</v>
      </c>
      <c r="B993" s="5" t="s">
        <v>227</v>
      </c>
      <c r="C993" s="5">
        <v>0</v>
      </c>
      <c r="D993" s="5">
        <v>0</v>
      </c>
      <c r="E993" s="5" t="s">
        <v>214</v>
      </c>
      <c r="F993" s="5" t="s">
        <v>215</v>
      </c>
    </row>
    <row r="994" spans="1:6" x14ac:dyDescent="0.25">
      <c r="A994" s="5">
        <v>55</v>
      </c>
      <c r="B994" s="5" t="s">
        <v>228</v>
      </c>
      <c r="C994" s="5">
        <f>539.7+539.7</f>
        <v>1079.4000000000001</v>
      </c>
      <c r="D994" s="5">
        <f t="shared" si="97"/>
        <v>1079.4000000000001</v>
      </c>
      <c r="E994" s="5" t="s">
        <v>214</v>
      </c>
      <c r="F994" s="5" t="s">
        <v>215</v>
      </c>
    </row>
    <row r="995" spans="1:6" x14ac:dyDescent="0.25">
      <c r="A995" s="5">
        <v>55</v>
      </c>
      <c r="B995" s="5" t="s">
        <v>229</v>
      </c>
      <c r="C995" s="5">
        <f>187.2+187.2</f>
        <v>374.4</v>
      </c>
      <c r="D995" s="5">
        <f>174.04+174.04</f>
        <v>348.08</v>
      </c>
      <c r="E995" s="5" t="s">
        <v>214</v>
      </c>
      <c r="F995" s="5" t="s">
        <v>215</v>
      </c>
    </row>
    <row r="996" spans="1:6" x14ac:dyDescent="0.25">
      <c r="A996" s="5">
        <v>56</v>
      </c>
      <c r="B996" s="5" t="s">
        <v>222</v>
      </c>
      <c r="C996" s="5">
        <f>19304.52+20046.46</f>
        <v>39350.979999999996</v>
      </c>
      <c r="D996" s="5">
        <f>17983.97+18569.01</f>
        <v>36552.979999999996</v>
      </c>
      <c r="E996" s="5" t="s">
        <v>214</v>
      </c>
      <c r="F996" s="5" t="s">
        <v>215</v>
      </c>
    </row>
    <row r="997" spans="1:6" x14ac:dyDescent="0.25">
      <c r="A997" s="5">
        <v>56</v>
      </c>
      <c r="B997" s="5" t="s">
        <v>223</v>
      </c>
      <c r="C997" s="5">
        <f>434.91+430.02</f>
        <v>864.93000000000006</v>
      </c>
      <c r="D997" s="5">
        <f>+C997</f>
        <v>864.93000000000006</v>
      </c>
      <c r="E997" s="5" t="s">
        <v>214</v>
      </c>
      <c r="F997" s="5" t="s">
        <v>215</v>
      </c>
    </row>
    <row r="998" spans="1:6" x14ac:dyDescent="0.25">
      <c r="A998" s="5">
        <v>56</v>
      </c>
      <c r="B998" s="5" t="s">
        <v>224</v>
      </c>
      <c r="C998" s="5">
        <f>322.48+318.86</f>
        <v>641.34</v>
      </c>
      <c r="D998" s="5">
        <f t="shared" ref="D998:D1002" si="98">+C998</f>
        <v>641.34</v>
      </c>
      <c r="E998" s="5" t="s">
        <v>214</v>
      </c>
      <c r="F998" s="5" t="s">
        <v>215</v>
      </c>
    </row>
    <row r="999" spans="1:6" x14ac:dyDescent="0.25">
      <c r="A999" s="5">
        <v>56</v>
      </c>
      <c r="B999" s="5" t="s">
        <v>225</v>
      </c>
      <c r="C999" s="5">
        <f>2633.21+2603.62</f>
        <v>5236.83</v>
      </c>
      <c r="D999" s="5">
        <f t="shared" si="98"/>
        <v>5236.83</v>
      </c>
      <c r="E999" s="5" t="s">
        <v>214</v>
      </c>
      <c r="F999" s="5" t="s">
        <v>215</v>
      </c>
    </row>
    <row r="1000" spans="1:6" x14ac:dyDescent="0.25">
      <c r="A1000" s="5">
        <v>56</v>
      </c>
      <c r="B1000" s="5" t="s">
        <v>226</v>
      </c>
      <c r="C1000" s="5">
        <f>655.75+648.38</f>
        <v>1304.1300000000001</v>
      </c>
      <c r="D1000" s="5">
        <f t="shared" si="98"/>
        <v>1304.1300000000001</v>
      </c>
      <c r="E1000" s="5" t="s">
        <v>214</v>
      </c>
      <c r="F1000" s="5" t="s">
        <v>215</v>
      </c>
    </row>
    <row r="1001" spans="1:6" x14ac:dyDescent="0.25">
      <c r="A1001" s="5">
        <v>56</v>
      </c>
      <c r="B1001" s="5" t="s">
        <v>227</v>
      </c>
      <c r="C1001" s="5">
        <v>0</v>
      </c>
      <c r="D1001" s="5">
        <v>0</v>
      </c>
      <c r="E1001" s="5" t="s">
        <v>214</v>
      </c>
      <c r="F1001" s="5" t="s">
        <v>215</v>
      </c>
    </row>
    <row r="1002" spans="1:6" x14ac:dyDescent="0.25">
      <c r="A1002" s="5">
        <v>56</v>
      </c>
      <c r="B1002" s="5" t="s">
        <v>228</v>
      </c>
      <c r="C1002" s="5">
        <f>533.7+527.7</f>
        <v>1061.4000000000001</v>
      </c>
      <c r="D1002" s="5">
        <f t="shared" si="98"/>
        <v>1061.4000000000001</v>
      </c>
      <c r="E1002" s="5" t="s">
        <v>214</v>
      </c>
      <c r="F1002" s="5" t="s">
        <v>215</v>
      </c>
    </row>
    <row r="1003" spans="1:6" x14ac:dyDescent="0.25">
      <c r="A1003" s="5">
        <v>56</v>
      </c>
      <c r="B1003" s="5" t="s">
        <v>229</v>
      </c>
      <c r="C1003" s="5">
        <f>185.12+183.04</f>
        <v>368.15999999999997</v>
      </c>
      <c r="D1003" s="5">
        <f>172.46+169.55</f>
        <v>342.01</v>
      </c>
      <c r="E1003" s="5" t="s">
        <v>214</v>
      </c>
      <c r="F1003" s="5" t="s">
        <v>215</v>
      </c>
    </row>
    <row r="1004" spans="1:6" x14ac:dyDescent="0.25">
      <c r="A1004" s="5">
        <v>57</v>
      </c>
      <c r="B1004" s="5" t="s">
        <v>222</v>
      </c>
      <c r="C1004" s="5">
        <f>22687.9+65794.91</f>
        <v>88482.81</v>
      </c>
      <c r="D1004" s="5">
        <f>18420.32+53546.55</f>
        <v>71966.87</v>
      </c>
      <c r="E1004" s="5" t="s">
        <v>214</v>
      </c>
      <c r="F1004" s="5" t="s">
        <v>215</v>
      </c>
    </row>
    <row r="1005" spans="1:6" x14ac:dyDescent="0.25">
      <c r="A1005" s="5">
        <v>57</v>
      </c>
      <c r="B1005" s="5" t="s">
        <v>223</v>
      </c>
      <c r="C1005" s="5">
        <v>0</v>
      </c>
      <c r="D1005" s="5">
        <f>+C1005</f>
        <v>0</v>
      </c>
      <c r="E1005" s="5" t="s">
        <v>214</v>
      </c>
      <c r="F1005" s="5" t="s">
        <v>215</v>
      </c>
    </row>
    <row r="1006" spans="1:6" x14ac:dyDescent="0.25">
      <c r="A1006" s="5">
        <v>57</v>
      </c>
      <c r="B1006" s="5" t="s">
        <v>224</v>
      </c>
      <c r="C1006" s="5">
        <v>0</v>
      </c>
      <c r="D1006" s="5">
        <f t="shared" ref="D1006:D1010" si="99">+C1006</f>
        <v>0</v>
      </c>
      <c r="E1006" s="5" t="s">
        <v>214</v>
      </c>
      <c r="F1006" s="5" t="s">
        <v>215</v>
      </c>
    </row>
    <row r="1007" spans="1:6" x14ac:dyDescent="0.25">
      <c r="A1007" s="5">
        <v>57</v>
      </c>
      <c r="B1007" s="5" t="s">
        <v>225</v>
      </c>
      <c r="C1007" s="5">
        <v>0</v>
      </c>
      <c r="D1007" s="5">
        <f t="shared" si="99"/>
        <v>0</v>
      </c>
      <c r="E1007" s="5" t="s">
        <v>214</v>
      </c>
      <c r="F1007" s="5" t="s">
        <v>215</v>
      </c>
    </row>
    <row r="1008" spans="1:6" x14ac:dyDescent="0.25">
      <c r="A1008" s="5">
        <v>57</v>
      </c>
      <c r="B1008" s="5" t="s">
        <v>226</v>
      </c>
      <c r="C1008" s="5">
        <v>0</v>
      </c>
      <c r="D1008" s="5">
        <f t="shared" si="99"/>
        <v>0</v>
      </c>
      <c r="E1008" s="5" t="s">
        <v>214</v>
      </c>
      <c r="F1008" s="5" t="s">
        <v>215</v>
      </c>
    </row>
    <row r="1009" spans="1:6" x14ac:dyDescent="0.25">
      <c r="A1009" s="5">
        <v>57</v>
      </c>
      <c r="B1009" s="5" t="s">
        <v>227</v>
      </c>
      <c r="C1009" s="5">
        <v>0</v>
      </c>
      <c r="D1009" s="5">
        <v>0</v>
      </c>
      <c r="E1009" s="5" t="s">
        <v>214</v>
      </c>
      <c r="F1009" s="5" t="s">
        <v>215</v>
      </c>
    </row>
    <row r="1010" spans="1:6" x14ac:dyDescent="0.25">
      <c r="A1010" s="5">
        <v>57</v>
      </c>
      <c r="B1010" s="5" t="s">
        <v>228</v>
      </c>
      <c r="C1010" s="5">
        <v>0</v>
      </c>
      <c r="D1010" s="5">
        <f t="shared" si="99"/>
        <v>0</v>
      </c>
      <c r="E1010" s="5" t="s">
        <v>214</v>
      </c>
      <c r="F1010" s="5" t="s">
        <v>215</v>
      </c>
    </row>
    <row r="1011" spans="1:6" s="8" customFormat="1" x14ac:dyDescent="0.25">
      <c r="A1011" s="8">
        <v>57</v>
      </c>
      <c r="B1011" s="8" t="s">
        <v>229</v>
      </c>
      <c r="C1011" s="8">
        <v>0</v>
      </c>
      <c r="D1011" s="8">
        <v>0</v>
      </c>
      <c r="E1011" s="8" t="s">
        <v>214</v>
      </c>
      <c r="F1011" s="8" t="s">
        <v>215</v>
      </c>
    </row>
    <row r="1012" spans="1:6" s="8" customFormat="1" x14ac:dyDescent="0.25">
      <c r="A1012" s="8">
        <v>58</v>
      </c>
      <c r="B1012" s="8" t="s">
        <v>222</v>
      </c>
      <c r="C1012" s="8">
        <v>0</v>
      </c>
      <c r="D1012" s="8">
        <v>0</v>
      </c>
      <c r="E1012" s="8" t="s">
        <v>214</v>
      </c>
      <c r="F1012" s="8" t="s">
        <v>215</v>
      </c>
    </row>
    <row r="1013" spans="1:6" s="8" customFormat="1" x14ac:dyDescent="0.25">
      <c r="A1013" s="8">
        <v>58</v>
      </c>
      <c r="B1013" s="8" t="s">
        <v>223</v>
      </c>
      <c r="C1013" s="8">
        <v>0</v>
      </c>
      <c r="D1013" s="8">
        <v>0</v>
      </c>
      <c r="E1013" s="8" t="s">
        <v>214</v>
      </c>
      <c r="F1013" s="8" t="s">
        <v>215</v>
      </c>
    </row>
    <row r="1014" spans="1:6" s="8" customFormat="1" x14ac:dyDescent="0.25">
      <c r="A1014" s="8">
        <v>58</v>
      </c>
      <c r="B1014" s="8" t="s">
        <v>224</v>
      </c>
      <c r="C1014" s="8">
        <v>0</v>
      </c>
      <c r="D1014" s="8">
        <v>0</v>
      </c>
      <c r="E1014" s="8" t="s">
        <v>214</v>
      </c>
      <c r="F1014" s="8" t="s">
        <v>215</v>
      </c>
    </row>
    <row r="1015" spans="1:6" s="8" customFormat="1" x14ac:dyDescent="0.25">
      <c r="A1015" s="8">
        <v>58</v>
      </c>
      <c r="B1015" s="8" t="s">
        <v>225</v>
      </c>
      <c r="C1015" s="8">
        <v>0</v>
      </c>
      <c r="D1015" s="8">
        <v>0</v>
      </c>
      <c r="E1015" s="8" t="s">
        <v>214</v>
      </c>
      <c r="F1015" s="8" t="s">
        <v>215</v>
      </c>
    </row>
    <row r="1016" spans="1:6" s="8" customFormat="1" x14ac:dyDescent="0.25">
      <c r="A1016" s="8">
        <v>58</v>
      </c>
      <c r="B1016" s="8" t="s">
        <v>226</v>
      </c>
      <c r="C1016" s="8">
        <v>0</v>
      </c>
      <c r="D1016" s="8">
        <v>0</v>
      </c>
      <c r="E1016" s="8" t="s">
        <v>214</v>
      </c>
      <c r="F1016" s="8" t="s">
        <v>215</v>
      </c>
    </row>
    <row r="1017" spans="1:6" s="8" customFormat="1" x14ac:dyDescent="0.25">
      <c r="A1017" s="8">
        <v>58</v>
      </c>
      <c r="B1017" s="8" t="s">
        <v>227</v>
      </c>
      <c r="C1017" s="8">
        <v>0</v>
      </c>
      <c r="D1017" s="8">
        <v>0</v>
      </c>
      <c r="E1017" s="8" t="s">
        <v>214</v>
      </c>
      <c r="F1017" s="8" t="s">
        <v>215</v>
      </c>
    </row>
    <row r="1018" spans="1:6" s="8" customFormat="1" x14ac:dyDescent="0.25">
      <c r="A1018" s="8">
        <v>58</v>
      </c>
      <c r="B1018" s="8" t="s">
        <v>228</v>
      </c>
      <c r="C1018" s="8">
        <v>0</v>
      </c>
      <c r="D1018" s="8">
        <v>0</v>
      </c>
      <c r="E1018" s="8" t="s">
        <v>214</v>
      </c>
      <c r="F1018" s="8" t="s">
        <v>215</v>
      </c>
    </row>
    <row r="1019" spans="1:6" s="8" customFormat="1" x14ac:dyDescent="0.25">
      <c r="A1019" s="8">
        <v>58</v>
      </c>
      <c r="B1019" s="8" t="s">
        <v>229</v>
      </c>
      <c r="C1019" s="8">
        <v>0</v>
      </c>
      <c r="D1019" s="8">
        <v>0</v>
      </c>
      <c r="E1019" s="8" t="s">
        <v>214</v>
      </c>
      <c r="F1019" s="8" t="s">
        <v>215</v>
      </c>
    </row>
    <row r="1020" spans="1:6" s="8" customFormat="1" x14ac:dyDescent="0.25">
      <c r="A1020" s="8">
        <v>59</v>
      </c>
      <c r="B1020" s="8" t="s">
        <v>222</v>
      </c>
      <c r="C1020" s="8">
        <v>22632.12</v>
      </c>
      <c r="D1020" s="8">
        <v>20082.57</v>
      </c>
      <c r="E1020" s="8" t="s">
        <v>214</v>
      </c>
      <c r="F1020" s="8" t="s">
        <v>215</v>
      </c>
    </row>
    <row r="1021" spans="1:6" s="8" customFormat="1" x14ac:dyDescent="0.25">
      <c r="A1021" s="8">
        <v>59</v>
      </c>
      <c r="B1021" s="8" t="s">
        <v>223</v>
      </c>
      <c r="C1021" s="8">
        <v>439.8</v>
      </c>
      <c r="D1021" s="8">
        <f>+C1021</f>
        <v>439.8</v>
      </c>
      <c r="E1021" s="8" t="s">
        <v>214</v>
      </c>
      <c r="F1021" s="8" t="s">
        <v>215</v>
      </c>
    </row>
    <row r="1022" spans="1:6" s="8" customFormat="1" x14ac:dyDescent="0.25">
      <c r="A1022" s="8">
        <v>59</v>
      </c>
      <c r="B1022" s="8" t="s">
        <v>224</v>
      </c>
      <c r="C1022" s="8">
        <v>326.10000000000002</v>
      </c>
      <c r="D1022" s="8">
        <f t="shared" ref="D1022:D1024" si="100">+C1022</f>
        <v>326.10000000000002</v>
      </c>
      <c r="E1022" s="8" t="s">
        <v>214</v>
      </c>
      <c r="F1022" s="8" t="s">
        <v>215</v>
      </c>
    </row>
    <row r="1023" spans="1:6" s="8" customFormat="1" x14ac:dyDescent="0.25">
      <c r="A1023" s="8">
        <v>59</v>
      </c>
      <c r="B1023" s="8" t="s">
        <v>225</v>
      </c>
      <c r="C1023" s="8">
        <v>2662.8</v>
      </c>
      <c r="D1023" s="8">
        <f t="shared" si="100"/>
        <v>2662.8</v>
      </c>
      <c r="E1023" s="8" t="s">
        <v>214</v>
      </c>
      <c r="F1023" s="8" t="s">
        <v>215</v>
      </c>
    </row>
    <row r="1024" spans="1:6" s="8" customFormat="1" x14ac:dyDescent="0.25">
      <c r="A1024" s="8">
        <v>59</v>
      </c>
      <c r="B1024" s="8" t="s">
        <v>226</v>
      </c>
      <c r="C1024" s="8">
        <v>663.12</v>
      </c>
      <c r="D1024" s="8">
        <f t="shared" si="100"/>
        <v>663.12</v>
      </c>
      <c r="E1024" s="8" t="s">
        <v>214</v>
      </c>
      <c r="F1024" s="8" t="s">
        <v>215</v>
      </c>
    </row>
    <row r="1025" spans="1:6" s="8" customFormat="1" x14ac:dyDescent="0.25">
      <c r="A1025" s="8">
        <v>59</v>
      </c>
      <c r="B1025" s="8" t="s">
        <v>227</v>
      </c>
      <c r="C1025" s="8">
        <v>0</v>
      </c>
      <c r="D1025" s="8">
        <v>0</v>
      </c>
      <c r="E1025" s="8" t="s">
        <v>214</v>
      </c>
      <c r="F1025" s="8" t="s">
        <v>215</v>
      </c>
    </row>
    <row r="1026" spans="1:6" s="8" customFormat="1" x14ac:dyDescent="0.25">
      <c r="A1026" s="8">
        <v>59</v>
      </c>
      <c r="B1026" s="8" t="s">
        <v>228</v>
      </c>
      <c r="C1026" s="8">
        <v>539.70000000000005</v>
      </c>
      <c r="D1026" s="8">
        <f t="shared" ref="D1026" si="101">+C1026</f>
        <v>539.70000000000005</v>
      </c>
      <c r="E1026" s="8" t="s">
        <v>214</v>
      </c>
      <c r="F1026" s="8" t="s">
        <v>215</v>
      </c>
    </row>
    <row r="1027" spans="1:6" s="8" customFormat="1" x14ac:dyDescent="0.25">
      <c r="A1027" s="8">
        <v>59</v>
      </c>
      <c r="B1027" s="8" t="s">
        <v>229</v>
      </c>
      <c r="C1027" s="8">
        <v>187.2</v>
      </c>
      <c r="D1027" s="8">
        <v>166.11</v>
      </c>
      <c r="E1027" s="8" t="s">
        <v>214</v>
      </c>
      <c r="F1027" s="8" t="s">
        <v>215</v>
      </c>
    </row>
    <row r="1028" spans="1:6" s="8" customFormat="1" x14ac:dyDescent="0.25">
      <c r="A1028" s="8">
        <v>60</v>
      </c>
      <c r="B1028" s="8" t="s">
        <v>222</v>
      </c>
      <c r="C1028" s="8">
        <v>13014.28</v>
      </c>
      <c r="D1028" s="8">
        <v>12099.53</v>
      </c>
      <c r="E1028" s="8" t="s">
        <v>214</v>
      </c>
      <c r="F1028" s="8" t="s">
        <v>215</v>
      </c>
    </row>
    <row r="1029" spans="1:6" s="8" customFormat="1" x14ac:dyDescent="0.25">
      <c r="A1029" s="8">
        <v>60</v>
      </c>
      <c r="B1029" s="8" t="s">
        <v>223</v>
      </c>
      <c r="C1029" s="8">
        <v>293.2</v>
      </c>
      <c r="D1029" s="8">
        <f>+C1029</f>
        <v>293.2</v>
      </c>
      <c r="E1029" s="8" t="s">
        <v>214</v>
      </c>
      <c r="F1029" s="8" t="s">
        <v>215</v>
      </c>
    </row>
    <row r="1030" spans="1:6" s="8" customFormat="1" x14ac:dyDescent="0.25">
      <c r="A1030" s="8">
        <v>60</v>
      </c>
      <c r="B1030" s="8" t="s">
        <v>224</v>
      </c>
      <c r="C1030" s="8">
        <v>217.4</v>
      </c>
      <c r="D1030" s="8">
        <f t="shared" ref="D1030:D1032" si="102">+C1030</f>
        <v>217.4</v>
      </c>
      <c r="E1030" s="8" t="s">
        <v>214</v>
      </c>
      <c r="F1030" s="8" t="s">
        <v>215</v>
      </c>
    </row>
    <row r="1031" spans="1:6" s="8" customFormat="1" x14ac:dyDescent="0.25">
      <c r="A1031" s="8">
        <v>60</v>
      </c>
      <c r="B1031" s="8" t="s">
        <v>225</v>
      </c>
      <c r="C1031" s="8">
        <v>1775.2</v>
      </c>
      <c r="D1031" s="8">
        <f t="shared" si="102"/>
        <v>1775.2</v>
      </c>
      <c r="E1031" s="8" t="s">
        <v>214</v>
      </c>
      <c r="F1031" s="8" t="s">
        <v>215</v>
      </c>
    </row>
    <row r="1032" spans="1:6" s="8" customFormat="1" x14ac:dyDescent="0.25">
      <c r="A1032" s="8">
        <v>60</v>
      </c>
      <c r="B1032" s="8" t="s">
        <v>226</v>
      </c>
      <c r="C1032" s="8">
        <v>442.08</v>
      </c>
      <c r="D1032" s="8">
        <f t="shared" si="102"/>
        <v>442.08</v>
      </c>
      <c r="E1032" s="8" t="s">
        <v>214</v>
      </c>
      <c r="F1032" s="8" t="s">
        <v>215</v>
      </c>
    </row>
    <row r="1033" spans="1:6" s="8" customFormat="1" x14ac:dyDescent="0.25">
      <c r="A1033" s="8">
        <v>60</v>
      </c>
      <c r="B1033" s="8" t="s">
        <v>227</v>
      </c>
      <c r="C1033" s="8">
        <v>0</v>
      </c>
      <c r="D1033" s="8">
        <v>0</v>
      </c>
      <c r="E1033" s="8" t="s">
        <v>214</v>
      </c>
      <c r="F1033" s="8" t="s">
        <v>215</v>
      </c>
    </row>
    <row r="1034" spans="1:6" s="8" customFormat="1" x14ac:dyDescent="0.25">
      <c r="A1034" s="8">
        <v>60</v>
      </c>
      <c r="B1034" s="8" t="s">
        <v>228</v>
      </c>
      <c r="C1034" s="8">
        <v>359.8</v>
      </c>
      <c r="D1034" s="8">
        <f t="shared" ref="D1034" si="103">+C1034</f>
        <v>359.8</v>
      </c>
      <c r="E1034" s="8" t="s">
        <v>214</v>
      </c>
      <c r="F1034" s="8" t="s">
        <v>215</v>
      </c>
    </row>
    <row r="1035" spans="1:6" s="8" customFormat="1" x14ac:dyDescent="0.25">
      <c r="A1035" s="8">
        <v>60</v>
      </c>
      <c r="B1035" s="8" t="s">
        <v>229</v>
      </c>
      <c r="C1035" s="8">
        <v>124.8</v>
      </c>
      <c r="D1035" s="8">
        <v>116.03</v>
      </c>
      <c r="E1035" s="8" t="s">
        <v>214</v>
      </c>
      <c r="F1035" s="8" t="s">
        <v>215</v>
      </c>
    </row>
    <row r="1036" spans="1:6" s="8" customFormat="1" x14ac:dyDescent="0.25"/>
    <row r="1037" spans="1:6" s="8" customFormat="1" x14ac:dyDescent="0.25">
      <c r="C1037" s="8">
        <f>SUM(C4:C1035)</f>
        <v>8744933.2500000056</v>
      </c>
      <c r="D1037" s="8">
        <f>SUM(D4:D1035)</f>
        <v>7536569.919999999</v>
      </c>
    </row>
    <row r="1038" spans="1:6" s="8" customFormat="1" x14ac:dyDescent="0.25"/>
    <row r="1039" spans="1:6" s="8" customFormat="1" x14ac:dyDescent="0.25"/>
    <row r="1040" spans="1:6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</sheetData>
  <pageMargins left="0.15748031496062992" right="0.70866141732283472" top="0.15748031496062992" bottom="0.15748031496062992" header="0.15748031496062992" footer="0.15748031496062992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242"/>
  <sheetViews>
    <sheetView topLeftCell="A3" zoomScale="80" zoomScaleNormal="80" workbookViewId="0">
      <selection activeCell="C127" sqref="C1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 t="s">
        <v>221</v>
      </c>
      <c r="F62" t="s">
        <v>221</v>
      </c>
    </row>
    <row r="63" spans="1:6" s="15" customFormat="1" x14ac:dyDescent="0.25">
      <c r="A63" s="15">
        <v>60</v>
      </c>
      <c r="B63" s="15" t="s">
        <v>221</v>
      </c>
      <c r="C63" s="15">
        <v>0</v>
      </c>
      <c r="D63" s="15">
        <v>0</v>
      </c>
      <c r="E63" s="15" t="s">
        <v>221</v>
      </c>
      <c r="F63" s="15" t="s">
        <v>221</v>
      </c>
    </row>
    <row r="64" spans="1:6" s="15" customFormat="1" x14ac:dyDescent="0.25">
      <c r="A64" s="15">
        <v>61</v>
      </c>
      <c r="B64" s="15" t="s">
        <v>221</v>
      </c>
      <c r="C64" s="15">
        <v>0</v>
      </c>
      <c r="D64" s="15">
        <v>0</v>
      </c>
      <c r="E64" s="15" t="s">
        <v>221</v>
      </c>
      <c r="F64" s="15" t="s">
        <v>221</v>
      </c>
    </row>
    <row r="65" spans="1:6" s="15" customFormat="1" x14ac:dyDescent="0.25">
      <c r="A65" s="15">
        <v>62</v>
      </c>
      <c r="B65" s="15" t="s">
        <v>221</v>
      </c>
      <c r="C65" s="15">
        <v>0</v>
      </c>
      <c r="D65" s="15">
        <v>0</v>
      </c>
      <c r="E65" s="15" t="s">
        <v>221</v>
      </c>
      <c r="F65" s="15" t="s">
        <v>221</v>
      </c>
    </row>
    <row r="66" spans="1:6" s="15" customFormat="1" x14ac:dyDescent="0.25">
      <c r="A66" s="15">
        <v>63</v>
      </c>
      <c r="B66" s="15" t="s">
        <v>221</v>
      </c>
      <c r="C66" s="15">
        <v>0</v>
      </c>
      <c r="D66" s="15">
        <v>0</v>
      </c>
      <c r="E66" s="15" t="s">
        <v>221</v>
      </c>
      <c r="F66" s="15" t="s">
        <v>221</v>
      </c>
    </row>
    <row r="67" spans="1:6" s="15" customFormat="1" x14ac:dyDescent="0.25">
      <c r="A67" s="15">
        <v>64</v>
      </c>
      <c r="B67" s="15" t="s">
        <v>221</v>
      </c>
      <c r="C67" s="15">
        <v>0</v>
      </c>
      <c r="D67" s="15">
        <v>0</v>
      </c>
      <c r="E67" s="15" t="s">
        <v>221</v>
      </c>
      <c r="F67" s="15" t="s">
        <v>221</v>
      </c>
    </row>
    <row r="68" spans="1:6" s="15" customFormat="1" x14ac:dyDescent="0.25">
      <c r="A68" s="15">
        <v>65</v>
      </c>
      <c r="B68" s="15" t="s">
        <v>221</v>
      </c>
      <c r="C68" s="15">
        <v>0</v>
      </c>
      <c r="D68" s="15">
        <v>0</v>
      </c>
      <c r="E68" s="15" t="s">
        <v>221</v>
      </c>
      <c r="F68" s="15" t="s">
        <v>221</v>
      </c>
    </row>
    <row r="69" spans="1:6" s="15" customFormat="1" x14ac:dyDescent="0.25">
      <c r="A69" s="15">
        <v>66</v>
      </c>
      <c r="B69" s="15" t="s">
        <v>221</v>
      </c>
      <c r="C69" s="15">
        <v>0</v>
      </c>
      <c r="D69" s="15">
        <v>0</v>
      </c>
      <c r="E69" s="15" t="s">
        <v>221</v>
      </c>
      <c r="F69" s="15" t="s">
        <v>221</v>
      </c>
    </row>
    <row r="70" spans="1:6" s="15" customFormat="1" x14ac:dyDescent="0.25">
      <c r="A70" s="15">
        <v>67</v>
      </c>
      <c r="B70" s="15" t="s">
        <v>221</v>
      </c>
      <c r="C70" s="15">
        <v>0</v>
      </c>
      <c r="D70" s="15">
        <v>0</v>
      </c>
      <c r="E70" s="15" t="s">
        <v>221</v>
      </c>
      <c r="F70" s="15" t="s">
        <v>221</v>
      </c>
    </row>
    <row r="71" spans="1:6" x14ac:dyDescent="0.25">
      <c r="A71" s="4">
        <v>1</v>
      </c>
      <c r="B71" s="4" t="s">
        <v>221</v>
      </c>
      <c r="C71" s="4">
        <v>0</v>
      </c>
      <c r="D71" s="4">
        <v>0</v>
      </c>
      <c r="E71" s="4" t="s">
        <v>221</v>
      </c>
      <c r="F71" s="4" t="s">
        <v>221</v>
      </c>
    </row>
    <row r="72" spans="1:6" x14ac:dyDescent="0.25">
      <c r="A72" s="4">
        <v>2</v>
      </c>
      <c r="B72" s="4" t="s">
        <v>221</v>
      </c>
      <c r="C72" s="4">
        <v>0</v>
      </c>
      <c r="D72" s="4">
        <v>0</v>
      </c>
      <c r="E72" s="4" t="s">
        <v>221</v>
      </c>
      <c r="F72" s="4" t="s">
        <v>221</v>
      </c>
    </row>
    <row r="73" spans="1:6" x14ac:dyDescent="0.25">
      <c r="A73" s="4">
        <v>3</v>
      </c>
      <c r="B73" s="4" t="s">
        <v>221</v>
      </c>
      <c r="C73" s="4">
        <v>0</v>
      </c>
      <c r="D73" s="4">
        <v>0</v>
      </c>
      <c r="E73" s="4" t="s">
        <v>221</v>
      </c>
      <c r="F73" s="4" t="s">
        <v>221</v>
      </c>
    </row>
    <row r="74" spans="1:6" x14ac:dyDescent="0.25">
      <c r="A74" s="4">
        <v>4</v>
      </c>
      <c r="B74" s="4" t="s">
        <v>221</v>
      </c>
      <c r="C74" s="4">
        <v>0</v>
      </c>
      <c r="D74" s="4">
        <v>0</v>
      </c>
      <c r="E74" s="4" t="s">
        <v>221</v>
      </c>
      <c r="F74" s="4" t="s">
        <v>221</v>
      </c>
    </row>
    <row r="75" spans="1:6" x14ac:dyDescent="0.25">
      <c r="A75" s="4">
        <v>5</v>
      </c>
      <c r="B75" s="4" t="s">
        <v>221</v>
      </c>
      <c r="C75" s="4">
        <v>0</v>
      </c>
      <c r="D75" s="4">
        <v>0</v>
      </c>
      <c r="E75" s="4" t="s">
        <v>221</v>
      </c>
      <c r="F75" s="4" t="s">
        <v>221</v>
      </c>
    </row>
    <row r="76" spans="1:6" x14ac:dyDescent="0.25">
      <c r="A76" s="4">
        <v>6</v>
      </c>
      <c r="B76" s="4" t="s">
        <v>221</v>
      </c>
      <c r="C76" s="4">
        <v>0</v>
      </c>
      <c r="D76" s="4">
        <v>0</v>
      </c>
      <c r="E76" s="4" t="s">
        <v>221</v>
      </c>
      <c r="F76" s="4" t="s">
        <v>221</v>
      </c>
    </row>
    <row r="77" spans="1:6" x14ac:dyDescent="0.25">
      <c r="A77" s="4">
        <v>7</v>
      </c>
      <c r="B77" s="4" t="s">
        <v>221</v>
      </c>
      <c r="C77" s="4">
        <v>0</v>
      </c>
      <c r="D77" s="4">
        <v>0</v>
      </c>
      <c r="E77" s="4" t="s">
        <v>221</v>
      </c>
      <c r="F77" s="4" t="s">
        <v>221</v>
      </c>
    </row>
    <row r="78" spans="1:6" x14ac:dyDescent="0.25">
      <c r="A78" s="4">
        <v>8</v>
      </c>
      <c r="B78" s="4" t="s">
        <v>221</v>
      </c>
      <c r="C78" s="4">
        <v>0</v>
      </c>
      <c r="D78" s="4">
        <v>0</v>
      </c>
      <c r="E78" s="4" t="s">
        <v>221</v>
      </c>
      <c r="F78" s="4" t="s">
        <v>221</v>
      </c>
    </row>
    <row r="79" spans="1:6" x14ac:dyDescent="0.25">
      <c r="A79" s="4">
        <v>9</v>
      </c>
      <c r="B79" s="4" t="s">
        <v>221</v>
      </c>
      <c r="C79" s="4">
        <v>0</v>
      </c>
      <c r="D79" s="4">
        <v>0</v>
      </c>
      <c r="E79" s="4" t="s">
        <v>221</v>
      </c>
      <c r="F79" s="4" t="s">
        <v>221</v>
      </c>
    </row>
    <row r="80" spans="1:6" x14ac:dyDescent="0.25">
      <c r="A80" s="4">
        <v>10</v>
      </c>
      <c r="B80" s="4" t="s">
        <v>221</v>
      </c>
      <c r="C80" s="4">
        <v>0</v>
      </c>
      <c r="D80" s="4">
        <v>0</v>
      </c>
      <c r="E80" s="4" t="s">
        <v>221</v>
      </c>
      <c r="F80" s="4" t="s">
        <v>221</v>
      </c>
    </row>
    <row r="81" spans="1:6" x14ac:dyDescent="0.25">
      <c r="A81" s="4">
        <v>11</v>
      </c>
      <c r="B81" s="4" t="s">
        <v>221</v>
      </c>
      <c r="C81" s="4">
        <v>0</v>
      </c>
      <c r="D81" s="4">
        <v>0</v>
      </c>
      <c r="E81" s="4" t="s">
        <v>221</v>
      </c>
      <c r="F81" s="4" t="s">
        <v>221</v>
      </c>
    </row>
    <row r="82" spans="1:6" x14ac:dyDescent="0.25">
      <c r="A82" s="4">
        <v>12</v>
      </c>
      <c r="B82" s="4" t="s">
        <v>221</v>
      </c>
      <c r="C82" s="4">
        <v>0</v>
      </c>
      <c r="D82" s="4">
        <v>0</v>
      </c>
      <c r="E82" s="4" t="s">
        <v>221</v>
      </c>
      <c r="F82" s="4" t="s">
        <v>221</v>
      </c>
    </row>
    <row r="83" spans="1:6" x14ac:dyDescent="0.25">
      <c r="A83" s="4">
        <v>13</v>
      </c>
      <c r="B83" s="4" t="s">
        <v>221</v>
      </c>
      <c r="C83" s="4">
        <v>0</v>
      </c>
      <c r="D83" s="4">
        <v>0</v>
      </c>
      <c r="E83" s="4" t="s">
        <v>221</v>
      </c>
      <c r="F83" s="4" t="s">
        <v>221</v>
      </c>
    </row>
    <row r="84" spans="1:6" x14ac:dyDescent="0.25">
      <c r="A84" s="4">
        <v>14</v>
      </c>
      <c r="B84" s="4" t="s">
        <v>221</v>
      </c>
      <c r="C84" s="4">
        <v>0</v>
      </c>
      <c r="D84" s="4">
        <v>0</v>
      </c>
      <c r="E84" s="4" t="s">
        <v>221</v>
      </c>
      <c r="F84" s="4" t="s">
        <v>221</v>
      </c>
    </row>
    <row r="85" spans="1:6" x14ac:dyDescent="0.25">
      <c r="A85" s="4">
        <v>15</v>
      </c>
      <c r="B85" s="4" t="s">
        <v>221</v>
      </c>
      <c r="C85" s="4">
        <v>0</v>
      </c>
      <c r="D85" s="4">
        <v>0</v>
      </c>
      <c r="E85" s="4" t="s">
        <v>221</v>
      </c>
      <c r="F85" s="4" t="s">
        <v>221</v>
      </c>
    </row>
    <row r="86" spans="1:6" x14ac:dyDescent="0.25">
      <c r="A86" s="4">
        <v>16</v>
      </c>
      <c r="B86" s="4" t="s">
        <v>221</v>
      </c>
      <c r="C86" s="4">
        <v>0</v>
      </c>
      <c r="D86" s="4">
        <v>0</v>
      </c>
      <c r="E86" s="4" t="s">
        <v>221</v>
      </c>
      <c r="F86" s="4" t="s">
        <v>221</v>
      </c>
    </row>
    <row r="87" spans="1:6" x14ac:dyDescent="0.25">
      <c r="A87" s="4">
        <v>17</v>
      </c>
      <c r="B87" s="4" t="s">
        <v>221</v>
      </c>
      <c r="C87" s="4">
        <v>0</v>
      </c>
      <c r="D87" s="4">
        <v>0</v>
      </c>
      <c r="E87" s="4" t="s">
        <v>221</v>
      </c>
      <c r="F87" s="4" t="s">
        <v>221</v>
      </c>
    </row>
    <row r="88" spans="1:6" x14ac:dyDescent="0.25">
      <c r="A88" s="4">
        <v>18</v>
      </c>
      <c r="B88" s="4" t="s">
        <v>221</v>
      </c>
      <c r="C88" s="4">
        <v>0</v>
      </c>
      <c r="D88" s="4">
        <v>0</v>
      </c>
      <c r="E88" s="4" t="s">
        <v>221</v>
      </c>
      <c r="F88" s="4" t="s">
        <v>221</v>
      </c>
    </row>
    <row r="89" spans="1:6" x14ac:dyDescent="0.25">
      <c r="A89" s="4">
        <v>19</v>
      </c>
      <c r="B89" s="4" t="s">
        <v>221</v>
      </c>
      <c r="C89" s="4">
        <v>0</v>
      </c>
      <c r="D89" s="4">
        <v>0</v>
      </c>
      <c r="E89" s="4" t="s">
        <v>221</v>
      </c>
      <c r="F89" s="4" t="s">
        <v>221</v>
      </c>
    </row>
    <row r="90" spans="1:6" x14ac:dyDescent="0.25">
      <c r="A90" s="4">
        <v>20</v>
      </c>
      <c r="B90" s="4" t="s">
        <v>221</v>
      </c>
      <c r="C90" s="4">
        <v>0</v>
      </c>
      <c r="D90" s="4">
        <v>0</v>
      </c>
      <c r="E90" s="4" t="s">
        <v>221</v>
      </c>
      <c r="F90" s="4" t="s">
        <v>221</v>
      </c>
    </row>
    <row r="91" spans="1:6" x14ac:dyDescent="0.25">
      <c r="A91" s="4">
        <v>21</v>
      </c>
      <c r="B91" s="4" t="s">
        <v>221</v>
      </c>
      <c r="C91" s="4">
        <v>0</v>
      </c>
      <c r="D91" s="4">
        <v>0</v>
      </c>
      <c r="E91" s="4" t="s">
        <v>221</v>
      </c>
      <c r="F91" s="4" t="s">
        <v>221</v>
      </c>
    </row>
    <row r="92" spans="1:6" x14ac:dyDescent="0.25">
      <c r="A92" s="4">
        <v>22</v>
      </c>
      <c r="B92" s="4" t="s">
        <v>221</v>
      </c>
      <c r="C92" s="4">
        <v>0</v>
      </c>
      <c r="D92" s="4">
        <v>0</v>
      </c>
      <c r="E92" s="4" t="s">
        <v>221</v>
      </c>
      <c r="F92" s="4" t="s">
        <v>221</v>
      </c>
    </row>
    <row r="93" spans="1:6" x14ac:dyDescent="0.25">
      <c r="A93" s="4">
        <v>23</v>
      </c>
      <c r="B93" s="4" t="s">
        <v>221</v>
      </c>
      <c r="C93" s="4">
        <v>0</v>
      </c>
      <c r="D93" s="4">
        <v>0</v>
      </c>
      <c r="E93" s="4" t="s">
        <v>221</v>
      </c>
      <c r="F93" s="4" t="s">
        <v>221</v>
      </c>
    </row>
    <row r="94" spans="1:6" x14ac:dyDescent="0.25">
      <c r="A94" s="4">
        <v>24</v>
      </c>
      <c r="B94" s="4" t="s">
        <v>221</v>
      </c>
      <c r="C94" s="4">
        <v>0</v>
      </c>
      <c r="D94" s="4">
        <v>0</v>
      </c>
      <c r="E94" s="4" t="s">
        <v>221</v>
      </c>
      <c r="F94" s="4" t="s">
        <v>221</v>
      </c>
    </row>
    <row r="95" spans="1:6" x14ac:dyDescent="0.25">
      <c r="A95" s="4">
        <v>25</v>
      </c>
      <c r="B95" s="4" t="s">
        <v>221</v>
      </c>
      <c r="C95" s="4">
        <v>0</v>
      </c>
      <c r="D95" s="4">
        <v>0</v>
      </c>
      <c r="E95" s="4" t="s">
        <v>221</v>
      </c>
      <c r="F95" s="4" t="s">
        <v>221</v>
      </c>
    </row>
    <row r="96" spans="1:6" x14ac:dyDescent="0.25">
      <c r="A96" s="4">
        <v>26</v>
      </c>
      <c r="B96" s="4" t="s">
        <v>221</v>
      </c>
      <c r="C96" s="4">
        <v>0</v>
      </c>
      <c r="D96" s="4">
        <v>0</v>
      </c>
      <c r="E96" s="4" t="s">
        <v>221</v>
      </c>
      <c r="F96" s="4" t="s">
        <v>221</v>
      </c>
    </row>
    <row r="97" spans="1:6" x14ac:dyDescent="0.25">
      <c r="A97" s="4">
        <v>27</v>
      </c>
      <c r="B97" s="4" t="s">
        <v>221</v>
      </c>
      <c r="C97" s="4">
        <v>0</v>
      </c>
      <c r="D97" s="4">
        <v>0</v>
      </c>
      <c r="E97" s="4" t="s">
        <v>221</v>
      </c>
      <c r="F97" s="4" t="s">
        <v>221</v>
      </c>
    </row>
    <row r="98" spans="1:6" x14ac:dyDescent="0.25">
      <c r="A98" s="4">
        <v>28</v>
      </c>
      <c r="B98" s="4" t="s">
        <v>221</v>
      </c>
      <c r="C98" s="4">
        <v>0</v>
      </c>
      <c r="D98" s="4">
        <v>0</v>
      </c>
      <c r="E98" s="4" t="s">
        <v>221</v>
      </c>
      <c r="F98" s="4" t="s">
        <v>221</v>
      </c>
    </row>
    <row r="99" spans="1:6" x14ac:dyDescent="0.25">
      <c r="A99" s="4">
        <v>29</v>
      </c>
      <c r="B99" s="4" t="s">
        <v>221</v>
      </c>
      <c r="C99" s="4">
        <v>0</v>
      </c>
      <c r="D99" s="4">
        <v>0</v>
      </c>
      <c r="E99" s="4" t="s">
        <v>221</v>
      </c>
      <c r="F99" s="4" t="s">
        <v>221</v>
      </c>
    </row>
    <row r="100" spans="1:6" x14ac:dyDescent="0.25">
      <c r="A100" s="4">
        <v>30</v>
      </c>
      <c r="B100" s="4" t="s">
        <v>221</v>
      </c>
      <c r="C100" s="4">
        <v>0</v>
      </c>
      <c r="D100" s="4">
        <v>0</v>
      </c>
      <c r="E100" s="4" t="s">
        <v>221</v>
      </c>
      <c r="F100" s="4" t="s">
        <v>221</v>
      </c>
    </row>
    <row r="101" spans="1:6" x14ac:dyDescent="0.25">
      <c r="A101" s="4">
        <v>31</v>
      </c>
      <c r="B101" s="4" t="s">
        <v>221</v>
      </c>
      <c r="C101" s="4">
        <v>0</v>
      </c>
      <c r="D101" s="4">
        <v>0</v>
      </c>
      <c r="E101" s="4" t="s">
        <v>221</v>
      </c>
      <c r="F101" s="4" t="s">
        <v>221</v>
      </c>
    </row>
    <row r="102" spans="1:6" x14ac:dyDescent="0.25">
      <c r="A102" s="4">
        <v>32</v>
      </c>
      <c r="B102" s="4" t="s">
        <v>221</v>
      </c>
      <c r="C102" s="4">
        <v>0</v>
      </c>
      <c r="D102" s="4">
        <v>0</v>
      </c>
      <c r="E102" s="4" t="s">
        <v>221</v>
      </c>
      <c r="F102" s="4" t="s">
        <v>221</v>
      </c>
    </row>
    <row r="103" spans="1:6" x14ac:dyDescent="0.25">
      <c r="A103" s="4">
        <v>33</v>
      </c>
      <c r="B103" s="4" t="s">
        <v>221</v>
      </c>
      <c r="C103" s="4">
        <v>0</v>
      </c>
      <c r="D103" s="4">
        <v>0</v>
      </c>
      <c r="E103" s="4" t="s">
        <v>221</v>
      </c>
      <c r="F103" s="4" t="s">
        <v>221</v>
      </c>
    </row>
    <row r="104" spans="1:6" x14ac:dyDescent="0.25">
      <c r="A104" s="4">
        <v>34</v>
      </c>
      <c r="B104" s="4" t="s">
        <v>221</v>
      </c>
      <c r="C104" s="4">
        <v>0</v>
      </c>
      <c r="D104" s="4">
        <v>0</v>
      </c>
      <c r="E104" s="4" t="s">
        <v>221</v>
      </c>
      <c r="F104" s="4" t="s">
        <v>221</v>
      </c>
    </row>
    <row r="105" spans="1:6" x14ac:dyDescent="0.25">
      <c r="A105" s="4">
        <v>35</v>
      </c>
      <c r="B105" s="4" t="s">
        <v>221</v>
      </c>
      <c r="C105" s="4">
        <v>0</v>
      </c>
      <c r="D105" s="4">
        <v>0</v>
      </c>
      <c r="E105" s="4" t="s">
        <v>221</v>
      </c>
      <c r="F105" s="4" t="s">
        <v>221</v>
      </c>
    </row>
    <row r="106" spans="1:6" x14ac:dyDescent="0.25">
      <c r="A106" s="4">
        <v>36</v>
      </c>
      <c r="B106" s="4" t="s">
        <v>221</v>
      </c>
      <c r="C106" s="4">
        <v>0</v>
      </c>
      <c r="D106" s="4">
        <v>0</v>
      </c>
      <c r="E106" s="4" t="s">
        <v>221</v>
      </c>
      <c r="F106" s="4" t="s">
        <v>221</v>
      </c>
    </row>
    <row r="107" spans="1:6" x14ac:dyDescent="0.25">
      <c r="A107" s="4">
        <v>37</v>
      </c>
      <c r="B107" s="4" t="s">
        <v>221</v>
      </c>
      <c r="C107" s="4">
        <v>0</v>
      </c>
      <c r="D107" s="4">
        <v>0</v>
      </c>
      <c r="E107" s="4" t="s">
        <v>221</v>
      </c>
      <c r="F107" s="4" t="s">
        <v>221</v>
      </c>
    </row>
    <row r="108" spans="1:6" x14ac:dyDescent="0.25">
      <c r="A108" s="4">
        <v>38</v>
      </c>
      <c r="B108" s="4" t="s">
        <v>221</v>
      </c>
      <c r="C108" s="4">
        <v>0</v>
      </c>
      <c r="D108" s="4">
        <v>0</v>
      </c>
      <c r="E108" s="4" t="s">
        <v>221</v>
      </c>
      <c r="F108" s="4" t="s">
        <v>221</v>
      </c>
    </row>
    <row r="109" spans="1:6" x14ac:dyDescent="0.25">
      <c r="A109" s="4">
        <v>39</v>
      </c>
      <c r="B109" s="4" t="s">
        <v>221</v>
      </c>
      <c r="C109" s="4">
        <v>0</v>
      </c>
      <c r="D109" s="4">
        <v>0</v>
      </c>
      <c r="E109" s="4" t="s">
        <v>221</v>
      </c>
      <c r="F109" s="4" t="s">
        <v>221</v>
      </c>
    </row>
    <row r="110" spans="1:6" x14ac:dyDescent="0.25">
      <c r="A110" s="4">
        <v>40</v>
      </c>
      <c r="B110" s="4" t="s">
        <v>221</v>
      </c>
      <c r="C110" s="4">
        <v>0</v>
      </c>
      <c r="D110" s="4">
        <v>0</v>
      </c>
      <c r="E110" s="4" t="s">
        <v>221</v>
      </c>
      <c r="F110" s="4" t="s">
        <v>221</v>
      </c>
    </row>
    <row r="111" spans="1:6" x14ac:dyDescent="0.25">
      <c r="A111" s="4">
        <v>41</v>
      </c>
      <c r="B111" s="4" t="s">
        <v>221</v>
      </c>
      <c r="C111" s="4">
        <v>0</v>
      </c>
      <c r="D111" s="4">
        <v>0</v>
      </c>
      <c r="E111" s="4" t="s">
        <v>221</v>
      </c>
      <c r="F111" s="4" t="s">
        <v>221</v>
      </c>
    </row>
    <row r="112" spans="1:6" x14ac:dyDescent="0.25">
      <c r="A112" s="4">
        <v>42</v>
      </c>
      <c r="B112" s="4" t="s">
        <v>221</v>
      </c>
      <c r="C112" s="4">
        <v>0</v>
      </c>
      <c r="D112" s="4">
        <v>0</v>
      </c>
      <c r="E112" s="4" t="s">
        <v>221</v>
      </c>
      <c r="F112" s="4" t="s">
        <v>221</v>
      </c>
    </row>
    <row r="113" spans="1:6" x14ac:dyDescent="0.25">
      <c r="A113" s="4">
        <v>43</v>
      </c>
      <c r="B113" s="4" t="s">
        <v>221</v>
      </c>
      <c r="C113" s="4">
        <v>0</v>
      </c>
      <c r="D113" s="4">
        <v>0</v>
      </c>
      <c r="E113" s="4" t="s">
        <v>221</v>
      </c>
      <c r="F113" s="4" t="s">
        <v>221</v>
      </c>
    </row>
    <row r="114" spans="1:6" x14ac:dyDescent="0.25">
      <c r="A114" s="4">
        <v>44</v>
      </c>
      <c r="B114" s="4" t="s">
        <v>221</v>
      </c>
      <c r="C114" s="4">
        <v>0</v>
      </c>
      <c r="D114" s="4">
        <v>0</v>
      </c>
      <c r="E114" s="4" t="s">
        <v>221</v>
      </c>
      <c r="F114" s="4" t="s">
        <v>221</v>
      </c>
    </row>
    <row r="115" spans="1:6" x14ac:dyDescent="0.25">
      <c r="A115" s="4">
        <v>45</v>
      </c>
      <c r="B115" s="4" t="s">
        <v>221</v>
      </c>
      <c r="C115" s="4">
        <v>0</v>
      </c>
      <c r="D115" s="4">
        <v>0</v>
      </c>
      <c r="E115" s="4" t="s">
        <v>221</v>
      </c>
      <c r="F115" s="4" t="s">
        <v>221</v>
      </c>
    </row>
    <row r="116" spans="1:6" x14ac:dyDescent="0.25">
      <c r="A116" s="4">
        <v>46</v>
      </c>
      <c r="B116" s="4" t="s">
        <v>221</v>
      </c>
      <c r="C116" s="4">
        <v>0</v>
      </c>
      <c r="D116" s="4">
        <v>0</v>
      </c>
      <c r="E116" s="4" t="s">
        <v>221</v>
      </c>
      <c r="F116" s="4" t="s">
        <v>221</v>
      </c>
    </row>
    <row r="117" spans="1:6" x14ac:dyDescent="0.25">
      <c r="A117" s="4">
        <v>47</v>
      </c>
      <c r="B117" s="4" t="s">
        <v>221</v>
      </c>
      <c r="C117" s="4">
        <v>0</v>
      </c>
      <c r="D117" s="4">
        <v>0</v>
      </c>
      <c r="E117" s="4" t="s">
        <v>221</v>
      </c>
      <c r="F117" s="4" t="s">
        <v>221</v>
      </c>
    </row>
    <row r="118" spans="1:6" x14ac:dyDescent="0.25">
      <c r="A118" s="4">
        <v>48</v>
      </c>
      <c r="B118" s="4" t="s">
        <v>221</v>
      </c>
      <c r="C118" s="4">
        <v>0</v>
      </c>
      <c r="D118" s="4">
        <v>0</v>
      </c>
      <c r="E118" s="4" t="s">
        <v>221</v>
      </c>
      <c r="F118" s="4" t="s">
        <v>221</v>
      </c>
    </row>
    <row r="119" spans="1:6" x14ac:dyDescent="0.25">
      <c r="A119" s="4">
        <v>49</v>
      </c>
      <c r="B119" s="4" t="s">
        <v>221</v>
      </c>
      <c r="C119" s="4">
        <v>0</v>
      </c>
      <c r="D119" s="4">
        <v>0</v>
      </c>
      <c r="E119" s="4" t="s">
        <v>221</v>
      </c>
      <c r="F119" s="4" t="s">
        <v>221</v>
      </c>
    </row>
    <row r="120" spans="1:6" x14ac:dyDescent="0.25">
      <c r="A120" s="4">
        <v>50</v>
      </c>
      <c r="B120" s="4" t="s">
        <v>221</v>
      </c>
      <c r="C120" s="4">
        <v>0</v>
      </c>
      <c r="D120" s="4">
        <v>0</v>
      </c>
      <c r="E120" s="4" t="s">
        <v>221</v>
      </c>
      <c r="F120" s="4" t="s">
        <v>221</v>
      </c>
    </row>
    <row r="121" spans="1:6" x14ac:dyDescent="0.25">
      <c r="A121" s="4">
        <v>51</v>
      </c>
      <c r="B121" s="4" t="s">
        <v>221</v>
      </c>
      <c r="C121" s="4">
        <v>0</v>
      </c>
      <c r="D121" s="4">
        <v>0</v>
      </c>
      <c r="E121" s="4" t="s">
        <v>221</v>
      </c>
      <c r="F121" s="4" t="s">
        <v>221</v>
      </c>
    </row>
    <row r="122" spans="1:6" x14ac:dyDescent="0.25">
      <c r="A122" s="4">
        <v>52</v>
      </c>
      <c r="B122" s="4" t="s">
        <v>221</v>
      </c>
      <c r="C122" s="4">
        <v>0</v>
      </c>
      <c r="D122" s="4">
        <v>0</v>
      </c>
      <c r="E122" s="4" t="s">
        <v>221</v>
      </c>
      <c r="F122" s="4" t="s">
        <v>221</v>
      </c>
    </row>
    <row r="123" spans="1:6" x14ac:dyDescent="0.25">
      <c r="A123" s="4">
        <v>53</v>
      </c>
      <c r="B123" s="4" t="s">
        <v>221</v>
      </c>
      <c r="C123" s="4">
        <v>0</v>
      </c>
      <c r="D123" s="4">
        <v>0</v>
      </c>
      <c r="E123" s="4" t="s">
        <v>221</v>
      </c>
      <c r="F123" s="4" t="s">
        <v>221</v>
      </c>
    </row>
    <row r="124" spans="1:6" x14ac:dyDescent="0.25">
      <c r="A124" s="4">
        <v>54</v>
      </c>
      <c r="B124" s="4" t="s">
        <v>221</v>
      </c>
      <c r="C124" s="4">
        <v>0</v>
      </c>
      <c r="D124" s="4">
        <v>0</v>
      </c>
      <c r="E124" s="4" t="s">
        <v>221</v>
      </c>
      <c r="F124" s="4" t="s">
        <v>221</v>
      </c>
    </row>
    <row r="125" spans="1:6" x14ac:dyDescent="0.25">
      <c r="A125" s="4">
        <v>55</v>
      </c>
      <c r="B125" s="4" t="s">
        <v>221</v>
      </c>
      <c r="C125" s="4">
        <v>0</v>
      </c>
      <c r="D125" s="4">
        <v>0</v>
      </c>
      <c r="E125" s="4" t="s">
        <v>221</v>
      </c>
      <c r="F125" s="4" t="s">
        <v>221</v>
      </c>
    </row>
    <row r="126" spans="1:6" x14ac:dyDescent="0.25">
      <c r="A126" s="4">
        <v>56</v>
      </c>
      <c r="B126" s="4" t="s">
        <v>221</v>
      </c>
      <c r="C126" s="4">
        <v>0</v>
      </c>
      <c r="D126" s="4">
        <v>0</v>
      </c>
      <c r="E126" s="4" t="s">
        <v>221</v>
      </c>
      <c r="F126" s="4" t="s">
        <v>221</v>
      </c>
    </row>
    <row r="127" spans="1:6" x14ac:dyDescent="0.25">
      <c r="A127" s="4">
        <v>57</v>
      </c>
      <c r="B127" s="4" t="s">
        <v>221</v>
      </c>
      <c r="C127" s="4">
        <v>0</v>
      </c>
      <c r="D127" s="4">
        <v>0</v>
      </c>
      <c r="E127" s="4" t="s">
        <v>221</v>
      </c>
      <c r="F127" s="4" t="s">
        <v>221</v>
      </c>
    </row>
    <row r="128" spans="1:6" x14ac:dyDescent="0.25">
      <c r="A128" s="4">
        <v>58</v>
      </c>
      <c r="B128" s="4" t="s">
        <v>221</v>
      </c>
      <c r="C128" s="4">
        <v>0</v>
      </c>
      <c r="D128" s="4">
        <v>0</v>
      </c>
      <c r="E128" s="4" t="s">
        <v>221</v>
      </c>
      <c r="F128" s="4" t="s">
        <v>221</v>
      </c>
    </row>
    <row r="129" spans="1:9" x14ac:dyDescent="0.25">
      <c r="A129" s="4">
        <v>59</v>
      </c>
      <c r="B129" s="4" t="s">
        <v>221</v>
      </c>
      <c r="C129" s="4">
        <v>0</v>
      </c>
      <c r="D129" s="4">
        <v>0</v>
      </c>
      <c r="E129" s="4" t="s">
        <v>221</v>
      </c>
      <c r="F129" s="4" t="s">
        <v>221</v>
      </c>
    </row>
    <row r="130" spans="1:9" x14ac:dyDescent="0.25">
      <c r="A130">
        <v>60</v>
      </c>
      <c r="B130" s="4" t="s">
        <v>221</v>
      </c>
      <c r="C130" s="4">
        <v>0</v>
      </c>
      <c r="D130" s="4">
        <v>0</v>
      </c>
      <c r="E130" s="4" t="s">
        <v>221</v>
      </c>
      <c r="F130" s="4" t="s">
        <v>221</v>
      </c>
      <c r="G130" s="4"/>
      <c r="H130" s="4"/>
      <c r="I130" s="4"/>
    </row>
    <row r="131" spans="1:9" x14ac:dyDescent="0.25">
      <c r="A131" s="5"/>
      <c r="B131" s="5"/>
      <c r="C131" s="5"/>
      <c r="D131" s="5"/>
      <c r="E131" s="5"/>
      <c r="F131" s="5"/>
    </row>
    <row r="132" spans="1:9" x14ac:dyDescent="0.25">
      <c r="A132" s="5"/>
      <c r="B132" s="5"/>
      <c r="C132" s="5"/>
      <c r="D132" s="5"/>
      <c r="E132" s="5"/>
      <c r="F132" s="5"/>
    </row>
    <row r="133" spans="1:9" x14ac:dyDescent="0.25">
      <c r="A133" s="5"/>
      <c r="B133" s="5"/>
      <c r="C133" s="5"/>
      <c r="D133" s="5"/>
      <c r="E133" s="5"/>
      <c r="F133" s="5"/>
    </row>
    <row r="134" spans="1:9" x14ac:dyDescent="0.25">
      <c r="A134" s="5"/>
      <c r="B134" s="5"/>
      <c r="C134" s="5"/>
      <c r="D134" s="5"/>
      <c r="E134" s="5"/>
      <c r="F134" s="5"/>
    </row>
    <row r="135" spans="1:9" x14ac:dyDescent="0.25">
      <c r="A135" s="5"/>
      <c r="B135" s="5"/>
      <c r="C135" s="5"/>
      <c r="D135" s="5"/>
      <c r="E135" s="5"/>
      <c r="F135" s="5"/>
    </row>
    <row r="136" spans="1:9" x14ac:dyDescent="0.25">
      <c r="A136" s="5"/>
      <c r="B136" s="5"/>
      <c r="C136" s="5"/>
      <c r="D136" s="5"/>
      <c r="E136" s="5"/>
      <c r="F136" s="5"/>
    </row>
    <row r="137" spans="1:9" x14ac:dyDescent="0.25">
      <c r="A137" s="5"/>
      <c r="B137" s="5"/>
      <c r="C137" s="5"/>
      <c r="D137" s="5"/>
      <c r="E137" s="5"/>
      <c r="F137" s="5"/>
    </row>
    <row r="138" spans="1:9" x14ac:dyDescent="0.25">
      <c r="A138" s="5"/>
      <c r="B138" s="5"/>
      <c r="C138" s="5"/>
      <c r="D138" s="5"/>
      <c r="E138" s="5"/>
      <c r="F138" s="5"/>
    </row>
    <row r="139" spans="1:9" x14ac:dyDescent="0.25">
      <c r="A139" s="5"/>
      <c r="B139" s="5"/>
      <c r="C139" s="5"/>
      <c r="D139" s="5"/>
      <c r="E139" s="5"/>
      <c r="F139" s="5"/>
    </row>
    <row r="140" spans="1:9" x14ac:dyDescent="0.25">
      <c r="A140" s="5"/>
      <c r="B140" s="5"/>
      <c r="C140" s="5"/>
      <c r="D140" s="5"/>
      <c r="E140" s="5"/>
      <c r="F140" s="5"/>
    </row>
    <row r="141" spans="1:9" x14ac:dyDescent="0.25">
      <c r="A141" s="5"/>
      <c r="B141" s="5"/>
      <c r="C141" s="5"/>
      <c r="D141" s="5"/>
      <c r="E141" s="5"/>
      <c r="F141" s="5"/>
    </row>
    <row r="142" spans="1:9" x14ac:dyDescent="0.25">
      <c r="A142" s="5"/>
      <c r="B142" s="5"/>
      <c r="C142" s="5"/>
      <c r="D142" s="5"/>
      <c r="E142" s="5"/>
      <c r="F142" s="5"/>
    </row>
    <row r="143" spans="1:9" x14ac:dyDescent="0.25">
      <c r="A143" s="5"/>
      <c r="B143" s="5"/>
      <c r="C143" s="5"/>
      <c r="D143" s="5"/>
      <c r="E143" s="5"/>
      <c r="F143" s="5"/>
    </row>
    <row r="144" spans="1:9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14"/>
  <sheetViews>
    <sheetView topLeftCell="A483" zoomScale="90" zoomScaleNormal="90" workbookViewId="0">
      <selection activeCell="D513" sqref="D513"/>
    </sheetView>
  </sheetViews>
  <sheetFormatPr baseColWidth="10" defaultColWidth="9.140625" defaultRowHeight="15" x14ac:dyDescent="0.25"/>
  <cols>
    <col min="1" max="1" width="4" bestFit="1" customWidth="1"/>
    <col min="2" max="2" width="31" customWidth="1"/>
    <col min="3" max="3" width="28" customWidth="1"/>
    <col min="4" max="4" width="28.42578125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214</v>
      </c>
      <c r="F4" t="s">
        <v>233</v>
      </c>
    </row>
    <row r="5" spans="1:6" x14ac:dyDescent="0.25">
      <c r="A5">
        <v>1</v>
      </c>
      <c r="B5" t="s">
        <v>231</v>
      </c>
      <c r="C5">
        <v>0</v>
      </c>
      <c r="D5">
        <v>0</v>
      </c>
      <c r="E5" t="s">
        <v>214</v>
      </c>
      <c r="F5" t="s">
        <v>234</v>
      </c>
    </row>
    <row r="6" spans="1:6" x14ac:dyDescent="0.25">
      <c r="A6">
        <v>1</v>
      </c>
      <c r="B6" t="s">
        <v>232</v>
      </c>
      <c r="C6">
        <v>0</v>
      </c>
      <c r="D6">
        <v>0</v>
      </c>
      <c r="E6" t="s">
        <v>214</v>
      </c>
      <c r="F6" t="s">
        <v>234</v>
      </c>
    </row>
    <row r="7" spans="1:6" x14ac:dyDescent="0.25">
      <c r="A7">
        <v>1</v>
      </c>
      <c r="B7" t="s">
        <v>241</v>
      </c>
      <c r="C7">
        <v>0</v>
      </c>
      <c r="D7">
        <v>0</v>
      </c>
      <c r="E7" t="s">
        <v>214</v>
      </c>
      <c r="F7" t="s">
        <v>234</v>
      </c>
    </row>
    <row r="8" spans="1:6" x14ac:dyDescent="0.25">
      <c r="A8">
        <v>2</v>
      </c>
      <c r="B8" t="s">
        <v>230</v>
      </c>
      <c r="C8">
        <v>0</v>
      </c>
      <c r="D8">
        <v>0</v>
      </c>
      <c r="E8" t="s">
        <v>214</v>
      </c>
      <c r="F8" t="s">
        <v>233</v>
      </c>
    </row>
    <row r="9" spans="1:6" x14ac:dyDescent="0.25">
      <c r="A9">
        <v>2</v>
      </c>
      <c r="B9" t="s">
        <v>231</v>
      </c>
      <c r="C9">
        <v>0</v>
      </c>
      <c r="D9">
        <v>0</v>
      </c>
      <c r="E9" t="s">
        <v>214</v>
      </c>
      <c r="F9" t="s">
        <v>234</v>
      </c>
    </row>
    <row r="10" spans="1:6" x14ac:dyDescent="0.25">
      <c r="A10">
        <v>2</v>
      </c>
      <c r="B10" t="s">
        <v>232</v>
      </c>
      <c r="C10">
        <v>0</v>
      </c>
      <c r="D10">
        <v>0</v>
      </c>
      <c r="E10" t="s">
        <v>214</v>
      </c>
      <c r="F10" t="s">
        <v>234</v>
      </c>
    </row>
    <row r="11" spans="1:6" x14ac:dyDescent="0.25">
      <c r="A11">
        <v>2</v>
      </c>
      <c r="B11" t="s">
        <v>241</v>
      </c>
      <c r="C11">
        <v>0</v>
      </c>
      <c r="D11">
        <v>0</v>
      </c>
      <c r="E11" t="s">
        <v>214</v>
      </c>
      <c r="F11" t="s">
        <v>234</v>
      </c>
    </row>
    <row r="12" spans="1:6" x14ac:dyDescent="0.25">
      <c r="A12">
        <v>3</v>
      </c>
      <c r="B12" t="s">
        <v>230</v>
      </c>
      <c r="C12">
        <v>0</v>
      </c>
      <c r="D12">
        <v>0</v>
      </c>
      <c r="E12" t="s">
        <v>214</v>
      </c>
      <c r="F12" t="s">
        <v>233</v>
      </c>
    </row>
    <row r="13" spans="1:6" x14ac:dyDescent="0.25">
      <c r="A13">
        <v>3</v>
      </c>
      <c r="B13" t="s">
        <v>231</v>
      </c>
      <c r="C13">
        <v>0</v>
      </c>
      <c r="D13">
        <v>0</v>
      </c>
      <c r="E13" t="s">
        <v>214</v>
      </c>
      <c r="F13" t="s">
        <v>234</v>
      </c>
    </row>
    <row r="14" spans="1:6" x14ac:dyDescent="0.25">
      <c r="A14">
        <v>3</v>
      </c>
      <c r="B14" t="s">
        <v>232</v>
      </c>
      <c r="C14">
        <v>0</v>
      </c>
      <c r="D14">
        <v>0</v>
      </c>
      <c r="E14" t="s">
        <v>214</v>
      </c>
      <c r="F14" t="s">
        <v>234</v>
      </c>
    </row>
    <row r="15" spans="1:6" x14ac:dyDescent="0.25">
      <c r="A15">
        <v>3</v>
      </c>
      <c r="B15" t="s">
        <v>241</v>
      </c>
      <c r="C15">
        <v>0</v>
      </c>
      <c r="D15">
        <v>0</v>
      </c>
      <c r="E15" t="s">
        <v>214</v>
      </c>
      <c r="F15" t="s">
        <v>234</v>
      </c>
    </row>
    <row r="16" spans="1:6" x14ac:dyDescent="0.25">
      <c r="A16">
        <v>4</v>
      </c>
      <c r="B16" t="s">
        <v>230</v>
      </c>
      <c r="C16">
        <v>0</v>
      </c>
      <c r="D16">
        <v>0</v>
      </c>
      <c r="E16" t="s">
        <v>214</v>
      </c>
      <c r="F16" t="s">
        <v>233</v>
      </c>
    </row>
    <row r="17" spans="1:6" x14ac:dyDescent="0.25">
      <c r="A17">
        <v>4</v>
      </c>
      <c r="B17" t="s">
        <v>231</v>
      </c>
      <c r="C17">
        <v>0</v>
      </c>
      <c r="D17">
        <v>0</v>
      </c>
      <c r="E17" t="s">
        <v>214</v>
      </c>
      <c r="F17" t="s">
        <v>234</v>
      </c>
    </row>
    <row r="18" spans="1:6" x14ac:dyDescent="0.25">
      <c r="A18">
        <v>4</v>
      </c>
      <c r="B18" t="s">
        <v>232</v>
      </c>
      <c r="C18">
        <v>0</v>
      </c>
      <c r="D18">
        <v>0</v>
      </c>
      <c r="E18" t="s">
        <v>214</v>
      </c>
      <c r="F18" t="s">
        <v>234</v>
      </c>
    </row>
    <row r="19" spans="1:6" x14ac:dyDescent="0.25">
      <c r="A19">
        <v>4</v>
      </c>
      <c r="B19" t="s">
        <v>241</v>
      </c>
      <c r="C19">
        <v>0</v>
      </c>
      <c r="D19">
        <v>0</v>
      </c>
      <c r="E19" t="s">
        <v>214</v>
      </c>
      <c r="F19" t="s">
        <v>234</v>
      </c>
    </row>
    <row r="20" spans="1:6" x14ac:dyDescent="0.25">
      <c r="A20">
        <v>5</v>
      </c>
      <c r="B20" t="s">
        <v>230</v>
      </c>
      <c r="C20">
        <v>0</v>
      </c>
      <c r="D20">
        <v>0</v>
      </c>
      <c r="E20" t="s">
        <v>214</v>
      </c>
      <c r="F20" t="s">
        <v>233</v>
      </c>
    </row>
    <row r="21" spans="1:6" x14ac:dyDescent="0.25">
      <c r="A21">
        <v>5</v>
      </c>
      <c r="B21" t="s">
        <v>231</v>
      </c>
      <c r="C21">
        <v>0</v>
      </c>
      <c r="D21">
        <v>0</v>
      </c>
      <c r="E21" t="s">
        <v>214</v>
      </c>
      <c r="F21" t="s">
        <v>234</v>
      </c>
    </row>
    <row r="22" spans="1:6" x14ac:dyDescent="0.25">
      <c r="A22">
        <v>5</v>
      </c>
      <c r="B22" t="s">
        <v>232</v>
      </c>
      <c r="C22">
        <v>0</v>
      </c>
      <c r="D22">
        <v>0</v>
      </c>
      <c r="E22" t="s">
        <v>214</v>
      </c>
      <c r="F22" t="s">
        <v>234</v>
      </c>
    </row>
    <row r="23" spans="1:6" x14ac:dyDescent="0.25">
      <c r="A23">
        <v>5</v>
      </c>
      <c r="B23" t="s">
        <v>241</v>
      </c>
      <c r="C23">
        <v>0</v>
      </c>
      <c r="D23">
        <v>0</v>
      </c>
      <c r="E23" t="s">
        <v>214</v>
      </c>
      <c r="F23" t="s">
        <v>234</v>
      </c>
    </row>
    <row r="24" spans="1:6" x14ac:dyDescent="0.25">
      <c r="A24">
        <v>6</v>
      </c>
      <c r="B24" t="s">
        <v>230</v>
      </c>
      <c r="C24">
        <v>0</v>
      </c>
      <c r="D24">
        <v>0</v>
      </c>
      <c r="E24" t="s">
        <v>214</v>
      </c>
      <c r="F24" t="s">
        <v>233</v>
      </c>
    </row>
    <row r="25" spans="1:6" x14ac:dyDescent="0.25">
      <c r="A25">
        <v>6</v>
      </c>
      <c r="B25" t="s">
        <v>231</v>
      </c>
      <c r="C25">
        <v>0</v>
      </c>
      <c r="D25">
        <v>0</v>
      </c>
      <c r="E25" t="s">
        <v>214</v>
      </c>
      <c r="F25" t="s">
        <v>234</v>
      </c>
    </row>
    <row r="26" spans="1:6" x14ac:dyDescent="0.25">
      <c r="A26">
        <v>6</v>
      </c>
      <c r="B26" t="s">
        <v>232</v>
      </c>
      <c r="C26">
        <v>0</v>
      </c>
      <c r="D26">
        <v>0</v>
      </c>
      <c r="E26" t="s">
        <v>214</v>
      </c>
      <c r="F26" t="s">
        <v>234</v>
      </c>
    </row>
    <row r="27" spans="1:6" x14ac:dyDescent="0.25">
      <c r="A27">
        <v>6</v>
      </c>
      <c r="B27" t="s">
        <v>241</v>
      </c>
      <c r="C27">
        <v>0</v>
      </c>
      <c r="D27">
        <v>0</v>
      </c>
      <c r="E27" t="s">
        <v>214</v>
      </c>
      <c r="F27" t="s">
        <v>234</v>
      </c>
    </row>
    <row r="28" spans="1:6" x14ac:dyDescent="0.25">
      <c r="A28">
        <v>7</v>
      </c>
      <c r="B28" t="s">
        <v>230</v>
      </c>
      <c r="C28">
        <v>0</v>
      </c>
      <c r="D28">
        <v>0</v>
      </c>
      <c r="E28" t="s">
        <v>214</v>
      </c>
      <c r="F28" t="s">
        <v>233</v>
      </c>
    </row>
    <row r="29" spans="1:6" x14ac:dyDescent="0.25">
      <c r="A29">
        <v>7</v>
      </c>
      <c r="B29" t="s">
        <v>231</v>
      </c>
      <c r="C29">
        <v>0</v>
      </c>
      <c r="D29">
        <v>0</v>
      </c>
      <c r="E29" t="s">
        <v>214</v>
      </c>
      <c r="F29" t="s">
        <v>234</v>
      </c>
    </row>
    <row r="30" spans="1:6" x14ac:dyDescent="0.25">
      <c r="A30">
        <v>7</v>
      </c>
      <c r="B30" t="s">
        <v>232</v>
      </c>
      <c r="C30">
        <v>0</v>
      </c>
      <c r="D30">
        <v>0</v>
      </c>
      <c r="E30" t="s">
        <v>214</v>
      </c>
      <c r="F30" t="s">
        <v>234</v>
      </c>
    </row>
    <row r="31" spans="1:6" x14ac:dyDescent="0.25">
      <c r="A31">
        <v>7</v>
      </c>
      <c r="B31" t="s">
        <v>241</v>
      </c>
      <c r="C31">
        <v>0</v>
      </c>
      <c r="D31">
        <v>0</v>
      </c>
      <c r="E31" t="s">
        <v>214</v>
      </c>
      <c r="F31" t="s">
        <v>234</v>
      </c>
    </row>
    <row r="32" spans="1:6" x14ac:dyDescent="0.25">
      <c r="A32">
        <v>8</v>
      </c>
      <c r="B32" t="s">
        <v>230</v>
      </c>
      <c r="C32">
        <v>0</v>
      </c>
      <c r="D32">
        <v>0</v>
      </c>
      <c r="E32" t="s">
        <v>214</v>
      </c>
      <c r="F32" t="s">
        <v>233</v>
      </c>
    </row>
    <row r="33" spans="1:6" x14ac:dyDescent="0.25">
      <c r="A33">
        <v>8</v>
      </c>
      <c r="B33" t="s">
        <v>231</v>
      </c>
      <c r="C33">
        <v>0</v>
      </c>
      <c r="D33">
        <v>0</v>
      </c>
      <c r="E33" t="s">
        <v>214</v>
      </c>
      <c r="F33" t="s">
        <v>234</v>
      </c>
    </row>
    <row r="34" spans="1:6" x14ac:dyDescent="0.25">
      <c r="A34">
        <v>8</v>
      </c>
      <c r="B34" t="s">
        <v>232</v>
      </c>
      <c r="C34">
        <v>0</v>
      </c>
      <c r="D34">
        <v>0</v>
      </c>
      <c r="E34" t="s">
        <v>214</v>
      </c>
      <c r="F34" t="s">
        <v>234</v>
      </c>
    </row>
    <row r="35" spans="1:6" x14ac:dyDescent="0.25">
      <c r="A35">
        <v>8</v>
      </c>
      <c r="B35" t="s">
        <v>241</v>
      </c>
      <c r="C35">
        <v>0</v>
      </c>
      <c r="D35">
        <v>0</v>
      </c>
      <c r="E35" t="s">
        <v>214</v>
      </c>
      <c r="F35" t="s">
        <v>234</v>
      </c>
    </row>
    <row r="36" spans="1:6" x14ac:dyDescent="0.25">
      <c r="A36">
        <v>9</v>
      </c>
      <c r="B36" t="s">
        <v>230</v>
      </c>
      <c r="C36">
        <v>0</v>
      </c>
      <c r="D36">
        <v>0</v>
      </c>
      <c r="E36" t="s">
        <v>214</v>
      </c>
      <c r="F36" t="s">
        <v>233</v>
      </c>
    </row>
    <row r="37" spans="1:6" x14ac:dyDescent="0.25">
      <c r="A37">
        <v>9</v>
      </c>
      <c r="B37" t="s">
        <v>231</v>
      </c>
      <c r="C37">
        <v>0</v>
      </c>
      <c r="D37">
        <v>0</v>
      </c>
      <c r="E37" t="s">
        <v>214</v>
      </c>
      <c r="F37" t="s">
        <v>234</v>
      </c>
    </row>
    <row r="38" spans="1:6" x14ac:dyDescent="0.25">
      <c r="A38">
        <v>9</v>
      </c>
      <c r="B38" t="s">
        <v>232</v>
      </c>
      <c r="C38">
        <v>0</v>
      </c>
      <c r="D38">
        <v>0</v>
      </c>
      <c r="E38" t="s">
        <v>214</v>
      </c>
      <c r="F38" t="s">
        <v>234</v>
      </c>
    </row>
    <row r="39" spans="1:6" x14ac:dyDescent="0.25">
      <c r="A39">
        <v>9</v>
      </c>
      <c r="B39" t="s">
        <v>241</v>
      </c>
      <c r="C39">
        <v>0</v>
      </c>
      <c r="D39">
        <v>0</v>
      </c>
      <c r="E39" t="s">
        <v>214</v>
      </c>
      <c r="F39" t="s">
        <v>234</v>
      </c>
    </row>
    <row r="40" spans="1:6" x14ac:dyDescent="0.25">
      <c r="A40">
        <v>10</v>
      </c>
      <c r="B40" t="s">
        <v>230</v>
      </c>
      <c r="C40">
        <v>0</v>
      </c>
      <c r="D40">
        <v>0</v>
      </c>
      <c r="E40" t="s">
        <v>214</v>
      </c>
      <c r="F40" t="s">
        <v>233</v>
      </c>
    </row>
    <row r="41" spans="1:6" x14ac:dyDescent="0.25">
      <c r="A41">
        <v>10</v>
      </c>
      <c r="B41" t="s">
        <v>231</v>
      </c>
      <c r="C41">
        <v>0</v>
      </c>
      <c r="D41">
        <v>0</v>
      </c>
      <c r="E41" t="s">
        <v>214</v>
      </c>
      <c r="F41" t="s">
        <v>234</v>
      </c>
    </row>
    <row r="42" spans="1:6" x14ac:dyDescent="0.25">
      <c r="A42">
        <v>10</v>
      </c>
      <c r="B42" t="s">
        <v>232</v>
      </c>
      <c r="C42">
        <v>0</v>
      </c>
      <c r="D42">
        <v>0</v>
      </c>
      <c r="E42" t="s">
        <v>214</v>
      </c>
      <c r="F42" t="s">
        <v>234</v>
      </c>
    </row>
    <row r="43" spans="1:6" x14ac:dyDescent="0.25">
      <c r="A43">
        <v>10</v>
      </c>
      <c r="B43" t="s">
        <v>241</v>
      </c>
      <c r="C43">
        <v>0</v>
      </c>
      <c r="D43">
        <v>0</v>
      </c>
      <c r="E43" t="s">
        <v>214</v>
      </c>
      <c r="F43" t="s">
        <v>234</v>
      </c>
    </row>
    <row r="44" spans="1:6" x14ac:dyDescent="0.25">
      <c r="A44">
        <v>11</v>
      </c>
      <c r="B44" t="s">
        <v>230</v>
      </c>
      <c r="C44">
        <v>0</v>
      </c>
      <c r="D44">
        <v>0</v>
      </c>
      <c r="E44" t="s">
        <v>214</v>
      </c>
      <c r="F44" t="s">
        <v>233</v>
      </c>
    </row>
    <row r="45" spans="1:6" x14ac:dyDescent="0.25">
      <c r="A45">
        <v>11</v>
      </c>
      <c r="B45" t="s">
        <v>231</v>
      </c>
      <c r="C45">
        <v>0</v>
      </c>
      <c r="D45">
        <v>0</v>
      </c>
      <c r="E45" t="s">
        <v>214</v>
      </c>
      <c r="F45" t="s">
        <v>234</v>
      </c>
    </row>
    <row r="46" spans="1:6" x14ac:dyDescent="0.25">
      <c r="A46">
        <v>11</v>
      </c>
      <c r="B46" t="s">
        <v>232</v>
      </c>
      <c r="C46">
        <v>0</v>
      </c>
      <c r="D46">
        <v>0</v>
      </c>
      <c r="E46" t="s">
        <v>214</v>
      </c>
      <c r="F46" t="s">
        <v>234</v>
      </c>
    </row>
    <row r="47" spans="1:6" x14ac:dyDescent="0.25">
      <c r="A47">
        <v>11</v>
      </c>
      <c r="B47" t="s">
        <v>241</v>
      </c>
      <c r="C47">
        <v>0</v>
      </c>
      <c r="D47">
        <v>0</v>
      </c>
      <c r="E47" t="s">
        <v>214</v>
      </c>
      <c r="F47" t="s">
        <v>234</v>
      </c>
    </row>
    <row r="48" spans="1:6" x14ac:dyDescent="0.25">
      <c r="A48">
        <v>12</v>
      </c>
      <c r="B48" t="s">
        <v>230</v>
      </c>
      <c r="C48">
        <v>0</v>
      </c>
      <c r="D48">
        <v>0</v>
      </c>
      <c r="E48" t="s">
        <v>214</v>
      </c>
      <c r="F48" t="s">
        <v>233</v>
      </c>
    </row>
    <row r="49" spans="1:6" x14ac:dyDescent="0.25">
      <c r="A49">
        <v>12</v>
      </c>
      <c r="B49" t="s">
        <v>231</v>
      </c>
      <c r="C49">
        <v>0</v>
      </c>
      <c r="D49">
        <v>0</v>
      </c>
      <c r="E49" t="s">
        <v>214</v>
      </c>
      <c r="F49" t="s">
        <v>234</v>
      </c>
    </row>
    <row r="50" spans="1:6" x14ac:dyDescent="0.25">
      <c r="A50">
        <v>12</v>
      </c>
      <c r="B50" t="s">
        <v>232</v>
      </c>
      <c r="C50">
        <v>0</v>
      </c>
      <c r="D50">
        <v>0</v>
      </c>
      <c r="E50" t="s">
        <v>214</v>
      </c>
      <c r="F50" t="s">
        <v>234</v>
      </c>
    </row>
    <row r="51" spans="1:6" x14ac:dyDescent="0.25">
      <c r="A51">
        <v>12</v>
      </c>
      <c r="B51" t="s">
        <v>241</v>
      </c>
      <c r="C51">
        <v>0</v>
      </c>
      <c r="D51">
        <v>0</v>
      </c>
      <c r="E51" t="s">
        <v>214</v>
      </c>
      <c r="F51" t="s">
        <v>234</v>
      </c>
    </row>
    <row r="52" spans="1:6" x14ac:dyDescent="0.25">
      <c r="A52">
        <v>13</v>
      </c>
      <c r="B52" t="s">
        <v>230</v>
      </c>
      <c r="C52">
        <v>0</v>
      </c>
      <c r="D52">
        <v>0</v>
      </c>
      <c r="E52" t="s">
        <v>214</v>
      </c>
      <c r="F52" t="s">
        <v>233</v>
      </c>
    </row>
    <row r="53" spans="1:6" x14ac:dyDescent="0.25">
      <c r="A53">
        <v>13</v>
      </c>
      <c r="B53" t="s">
        <v>231</v>
      </c>
      <c r="C53">
        <v>0</v>
      </c>
      <c r="D53">
        <v>0</v>
      </c>
      <c r="E53" t="s">
        <v>214</v>
      </c>
      <c r="F53" t="s">
        <v>234</v>
      </c>
    </row>
    <row r="54" spans="1:6" x14ac:dyDescent="0.25">
      <c r="A54">
        <v>13</v>
      </c>
      <c r="B54" t="s">
        <v>232</v>
      </c>
      <c r="C54">
        <v>0</v>
      </c>
      <c r="D54">
        <v>0</v>
      </c>
      <c r="E54" t="s">
        <v>214</v>
      </c>
      <c r="F54" t="s">
        <v>234</v>
      </c>
    </row>
    <row r="55" spans="1:6" x14ac:dyDescent="0.25">
      <c r="A55">
        <v>13</v>
      </c>
      <c r="B55" t="s">
        <v>241</v>
      </c>
      <c r="C55">
        <v>0</v>
      </c>
      <c r="D55">
        <v>0</v>
      </c>
      <c r="E55" t="s">
        <v>214</v>
      </c>
      <c r="F55" t="s">
        <v>234</v>
      </c>
    </row>
    <row r="56" spans="1:6" x14ac:dyDescent="0.25">
      <c r="A56">
        <v>14</v>
      </c>
      <c r="B56" t="s">
        <v>230</v>
      </c>
      <c r="C56">
        <v>0</v>
      </c>
      <c r="D56">
        <v>0</v>
      </c>
      <c r="E56" t="s">
        <v>214</v>
      </c>
      <c r="F56" t="s">
        <v>233</v>
      </c>
    </row>
    <row r="57" spans="1:6" x14ac:dyDescent="0.25">
      <c r="A57">
        <v>14</v>
      </c>
      <c r="B57" t="s">
        <v>231</v>
      </c>
      <c r="C57">
        <v>0</v>
      </c>
      <c r="D57">
        <v>0</v>
      </c>
      <c r="E57" t="s">
        <v>214</v>
      </c>
      <c r="F57" t="s">
        <v>234</v>
      </c>
    </row>
    <row r="58" spans="1:6" x14ac:dyDescent="0.25">
      <c r="A58">
        <v>14</v>
      </c>
      <c r="B58" t="s">
        <v>232</v>
      </c>
      <c r="C58">
        <v>0</v>
      </c>
      <c r="D58">
        <v>0</v>
      </c>
      <c r="E58" t="s">
        <v>214</v>
      </c>
      <c r="F58" t="s">
        <v>234</v>
      </c>
    </row>
    <row r="59" spans="1:6" x14ac:dyDescent="0.25">
      <c r="A59">
        <v>14</v>
      </c>
      <c r="B59" t="s">
        <v>241</v>
      </c>
      <c r="C59">
        <v>0</v>
      </c>
      <c r="D59">
        <v>0</v>
      </c>
      <c r="E59" t="s">
        <v>214</v>
      </c>
      <c r="F59" t="s">
        <v>234</v>
      </c>
    </row>
    <row r="60" spans="1:6" x14ac:dyDescent="0.25">
      <c r="A60">
        <v>15</v>
      </c>
      <c r="B60" t="s">
        <v>230</v>
      </c>
      <c r="C60">
        <v>0</v>
      </c>
      <c r="D60">
        <v>0</v>
      </c>
      <c r="E60" t="s">
        <v>214</v>
      </c>
      <c r="F60" t="s">
        <v>233</v>
      </c>
    </row>
    <row r="61" spans="1:6" x14ac:dyDescent="0.25">
      <c r="A61">
        <v>15</v>
      </c>
      <c r="B61" t="s">
        <v>231</v>
      </c>
      <c r="C61">
        <v>0</v>
      </c>
      <c r="D61">
        <v>0</v>
      </c>
      <c r="E61" t="s">
        <v>214</v>
      </c>
      <c r="F61" t="s">
        <v>234</v>
      </c>
    </row>
    <row r="62" spans="1:6" x14ac:dyDescent="0.25">
      <c r="A62">
        <v>15</v>
      </c>
      <c r="B62" t="s">
        <v>232</v>
      </c>
      <c r="C62">
        <v>0</v>
      </c>
      <c r="D62">
        <v>0</v>
      </c>
      <c r="E62" t="s">
        <v>214</v>
      </c>
      <c r="F62" t="s">
        <v>234</v>
      </c>
    </row>
    <row r="63" spans="1:6" x14ac:dyDescent="0.25">
      <c r="A63">
        <v>15</v>
      </c>
      <c r="B63" t="s">
        <v>241</v>
      </c>
      <c r="C63">
        <v>0</v>
      </c>
      <c r="D63">
        <v>0</v>
      </c>
      <c r="E63" t="s">
        <v>214</v>
      </c>
      <c r="F63" t="s">
        <v>234</v>
      </c>
    </row>
    <row r="64" spans="1:6" x14ac:dyDescent="0.25">
      <c r="A64">
        <v>16</v>
      </c>
      <c r="B64" t="s">
        <v>230</v>
      </c>
      <c r="C64">
        <v>0</v>
      </c>
      <c r="D64">
        <v>0</v>
      </c>
      <c r="E64" t="s">
        <v>214</v>
      </c>
      <c r="F64" t="s">
        <v>233</v>
      </c>
    </row>
    <row r="65" spans="1:6" x14ac:dyDescent="0.25">
      <c r="A65">
        <v>16</v>
      </c>
      <c r="B65" t="s">
        <v>231</v>
      </c>
      <c r="C65">
        <v>0</v>
      </c>
      <c r="D65">
        <v>0</v>
      </c>
      <c r="E65" t="s">
        <v>214</v>
      </c>
      <c r="F65" t="s">
        <v>234</v>
      </c>
    </row>
    <row r="66" spans="1:6" x14ac:dyDescent="0.25">
      <c r="A66">
        <v>16</v>
      </c>
      <c r="B66" t="s">
        <v>232</v>
      </c>
      <c r="C66">
        <v>0</v>
      </c>
      <c r="D66">
        <v>0</v>
      </c>
      <c r="E66" t="s">
        <v>214</v>
      </c>
      <c r="F66" t="s">
        <v>234</v>
      </c>
    </row>
    <row r="67" spans="1:6" x14ac:dyDescent="0.25">
      <c r="A67">
        <v>16</v>
      </c>
      <c r="B67" t="s">
        <v>241</v>
      </c>
      <c r="C67">
        <v>0</v>
      </c>
      <c r="D67">
        <v>0</v>
      </c>
      <c r="E67" t="s">
        <v>214</v>
      </c>
      <c r="F67" t="s">
        <v>234</v>
      </c>
    </row>
    <row r="68" spans="1:6" x14ac:dyDescent="0.25">
      <c r="A68">
        <v>17</v>
      </c>
      <c r="B68" t="s">
        <v>230</v>
      </c>
      <c r="C68">
        <v>0</v>
      </c>
      <c r="D68">
        <v>0</v>
      </c>
      <c r="E68" t="s">
        <v>214</v>
      </c>
      <c r="F68" t="s">
        <v>233</v>
      </c>
    </row>
    <row r="69" spans="1:6" x14ac:dyDescent="0.25">
      <c r="A69">
        <v>17</v>
      </c>
      <c r="B69" t="s">
        <v>231</v>
      </c>
      <c r="C69">
        <v>0</v>
      </c>
      <c r="D69">
        <v>0</v>
      </c>
      <c r="E69" t="s">
        <v>214</v>
      </c>
      <c r="F69" t="s">
        <v>234</v>
      </c>
    </row>
    <row r="70" spans="1:6" x14ac:dyDescent="0.25">
      <c r="A70">
        <v>17</v>
      </c>
      <c r="B70" t="s">
        <v>232</v>
      </c>
      <c r="C70">
        <v>0</v>
      </c>
      <c r="D70">
        <v>0</v>
      </c>
      <c r="E70" t="s">
        <v>214</v>
      </c>
      <c r="F70" t="s">
        <v>234</v>
      </c>
    </row>
    <row r="71" spans="1:6" x14ac:dyDescent="0.25">
      <c r="A71">
        <v>17</v>
      </c>
      <c r="B71" t="s">
        <v>241</v>
      </c>
      <c r="C71">
        <v>0</v>
      </c>
      <c r="D71">
        <v>0</v>
      </c>
      <c r="E71" t="s">
        <v>214</v>
      </c>
      <c r="F71" t="s">
        <v>234</v>
      </c>
    </row>
    <row r="72" spans="1:6" x14ac:dyDescent="0.25">
      <c r="A72">
        <v>18</v>
      </c>
      <c r="B72" t="s">
        <v>230</v>
      </c>
      <c r="C72">
        <v>0</v>
      </c>
      <c r="D72">
        <v>0</v>
      </c>
      <c r="E72" t="s">
        <v>214</v>
      </c>
      <c r="F72" t="s">
        <v>233</v>
      </c>
    </row>
    <row r="73" spans="1:6" x14ac:dyDescent="0.25">
      <c r="A73">
        <v>18</v>
      </c>
      <c r="B73" t="s">
        <v>231</v>
      </c>
      <c r="C73">
        <v>0</v>
      </c>
      <c r="D73">
        <v>0</v>
      </c>
      <c r="E73" t="s">
        <v>214</v>
      </c>
      <c r="F73" t="s">
        <v>234</v>
      </c>
    </row>
    <row r="74" spans="1:6" x14ac:dyDescent="0.25">
      <c r="A74">
        <v>18</v>
      </c>
      <c r="B74" t="s">
        <v>232</v>
      </c>
      <c r="C74">
        <v>0</v>
      </c>
      <c r="D74">
        <v>0</v>
      </c>
      <c r="E74" t="s">
        <v>214</v>
      </c>
      <c r="F74" t="s">
        <v>234</v>
      </c>
    </row>
    <row r="75" spans="1:6" x14ac:dyDescent="0.25">
      <c r="A75">
        <v>18</v>
      </c>
      <c r="B75" t="s">
        <v>241</v>
      </c>
      <c r="C75">
        <v>0</v>
      </c>
      <c r="D75">
        <v>0</v>
      </c>
      <c r="E75" t="s">
        <v>214</v>
      </c>
      <c r="F75" t="s">
        <v>234</v>
      </c>
    </row>
    <row r="76" spans="1:6" x14ac:dyDescent="0.25">
      <c r="A76">
        <v>19</v>
      </c>
      <c r="B76" t="s">
        <v>230</v>
      </c>
      <c r="C76">
        <v>0</v>
      </c>
      <c r="D76">
        <v>0</v>
      </c>
      <c r="E76" t="s">
        <v>214</v>
      </c>
      <c r="F76" t="s">
        <v>233</v>
      </c>
    </row>
    <row r="77" spans="1:6" x14ac:dyDescent="0.25">
      <c r="A77">
        <v>19</v>
      </c>
      <c r="B77" t="s">
        <v>231</v>
      </c>
      <c r="C77">
        <v>0</v>
      </c>
      <c r="D77">
        <v>0</v>
      </c>
      <c r="E77" t="s">
        <v>214</v>
      </c>
      <c r="F77" t="s">
        <v>234</v>
      </c>
    </row>
    <row r="78" spans="1:6" x14ac:dyDescent="0.25">
      <c r="A78">
        <v>19</v>
      </c>
      <c r="B78" t="s">
        <v>232</v>
      </c>
      <c r="C78">
        <v>0</v>
      </c>
      <c r="D78">
        <v>0</v>
      </c>
      <c r="E78" t="s">
        <v>214</v>
      </c>
      <c r="F78" t="s">
        <v>234</v>
      </c>
    </row>
    <row r="79" spans="1:6" x14ac:dyDescent="0.25">
      <c r="A79">
        <v>19</v>
      </c>
      <c r="B79" t="s">
        <v>241</v>
      </c>
      <c r="C79">
        <v>0</v>
      </c>
      <c r="D79">
        <v>0</v>
      </c>
      <c r="E79" t="s">
        <v>214</v>
      </c>
      <c r="F79" t="s">
        <v>234</v>
      </c>
    </row>
    <row r="80" spans="1:6" x14ac:dyDescent="0.25">
      <c r="A80">
        <v>20</v>
      </c>
      <c r="B80" t="s">
        <v>230</v>
      </c>
      <c r="C80">
        <v>0</v>
      </c>
      <c r="D80">
        <v>0</v>
      </c>
      <c r="E80" t="s">
        <v>214</v>
      </c>
      <c r="F80" t="s">
        <v>233</v>
      </c>
    </row>
    <row r="81" spans="1:6" x14ac:dyDescent="0.25">
      <c r="A81">
        <v>20</v>
      </c>
      <c r="B81" t="s">
        <v>231</v>
      </c>
      <c r="C81">
        <v>0</v>
      </c>
      <c r="D81">
        <v>0</v>
      </c>
      <c r="E81" t="s">
        <v>214</v>
      </c>
      <c r="F81" t="s">
        <v>234</v>
      </c>
    </row>
    <row r="82" spans="1:6" x14ac:dyDescent="0.25">
      <c r="A82">
        <v>20</v>
      </c>
      <c r="B82" t="s">
        <v>232</v>
      </c>
      <c r="C82">
        <v>0</v>
      </c>
      <c r="D82">
        <v>0</v>
      </c>
      <c r="E82" t="s">
        <v>214</v>
      </c>
      <c r="F82" t="s">
        <v>234</v>
      </c>
    </row>
    <row r="83" spans="1:6" x14ac:dyDescent="0.25">
      <c r="A83">
        <v>20</v>
      </c>
      <c r="B83" t="s">
        <v>241</v>
      </c>
      <c r="C83">
        <v>0</v>
      </c>
      <c r="D83">
        <v>0</v>
      </c>
      <c r="E83" t="s">
        <v>214</v>
      </c>
      <c r="F83" t="s">
        <v>234</v>
      </c>
    </row>
    <row r="84" spans="1:6" x14ac:dyDescent="0.25">
      <c r="A84">
        <v>21</v>
      </c>
      <c r="B84" t="s">
        <v>230</v>
      </c>
      <c r="C84">
        <v>0</v>
      </c>
      <c r="D84">
        <v>0</v>
      </c>
      <c r="E84" t="s">
        <v>214</v>
      </c>
      <c r="F84" t="s">
        <v>233</v>
      </c>
    </row>
    <row r="85" spans="1:6" x14ac:dyDescent="0.25">
      <c r="A85">
        <v>21</v>
      </c>
      <c r="B85" t="s">
        <v>231</v>
      </c>
      <c r="C85">
        <v>0</v>
      </c>
      <c r="D85">
        <v>0</v>
      </c>
      <c r="E85" t="s">
        <v>214</v>
      </c>
      <c r="F85" t="s">
        <v>234</v>
      </c>
    </row>
    <row r="86" spans="1:6" x14ac:dyDescent="0.25">
      <c r="A86">
        <v>21</v>
      </c>
      <c r="B86" t="s">
        <v>232</v>
      </c>
      <c r="C86">
        <v>0</v>
      </c>
      <c r="D86">
        <v>0</v>
      </c>
      <c r="E86" t="s">
        <v>214</v>
      </c>
      <c r="F86" t="s">
        <v>234</v>
      </c>
    </row>
    <row r="87" spans="1:6" x14ac:dyDescent="0.25">
      <c r="A87">
        <v>21</v>
      </c>
      <c r="B87" t="s">
        <v>241</v>
      </c>
      <c r="C87">
        <v>0</v>
      </c>
      <c r="D87">
        <v>0</v>
      </c>
      <c r="E87" t="s">
        <v>214</v>
      </c>
      <c r="F87" t="s">
        <v>234</v>
      </c>
    </row>
    <row r="88" spans="1:6" x14ac:dyDescent="0.25">
      <c r="A88">
        <v>22</v>
      </c>
      <c r="B88" t="s">
        <v>230</v>
      </c>
      <c r="C88">
        <v>0</v>
      </c>
      <c r="D88">
        <v>0</v>
      </c>
      <c r="E88" t="s">
        <v>214</v>
      </c>
      <c r="F88" t="s">
        <v>233</v>
      </c>
    </row>
    <row r="89" spans="1:6" x14ac:dyDescent="0.25">
      <c r="A89">
        <v>22</v>
      </c>
      <c r="B89" t="s">
        <v>231</v>
      </c>
      <c r="C89">
        <v>0</v>
      </c>
      <c r="D89">
        <v>0</v>
      </c>
      <c r="E89" t="s">
        <v>214</v>
      </c>
      <c r="F89" t="s">
        <v>234</v>
      </c>
    </row>
    <row r="90" spans="1:6" x14ac:dyDescent="0.25">
      <c r="A90">
        <v>22</v>
      </c>
      <c r="B90" t="s">
        <v>232</v>
      </c>
      <c r="C90">
        <v>0</v>
      </c>
      <c r="D90">
        <v>0</v>
      </c>
      <c r="E90" t="s">
        <v>214</v>
      </c>
      <c r="F90" t="s">
        <v>234</v>
      </c>
    </row>
    <row r="91" spans="1:6" x14ac:dyDescent="0.25">
      <c r="A91">
        <v>22</v>
      </c>
      <c r="B91" t="s">
        <v>241</v>
      </c>
      <c r="C91">
        <v>0</v>
      </c>
      <c r="D91">
        <v>0</v>
      </c>
      <c r="E91" t="s">
        <v>214</v>
      </c>
      <c r="F91" t="s">
        <v>234</v>
      </c>
    </row>
    <row r="92" spans="1:6" x14ac:dyDescent="0.25">
      <c r="A92">
        <v>23</v>
      </c>
      <c r="B92" t="s">
        <v>230</v>
      </c>
      <c r="C92">
        <v>0</v>
      </c>
      <c r="D92">
        <v>0</v>
      </c>
      <c r="E92" t="s">
        <v>214</v>
      </c>
      <c r="F92" t="s">
        <v>233</v>
      </c>
    </row>
    <row r="93" spans="1:6" x14ac:dyDescent="0.25">
      <c r="A93">
        <v>23</v>
      </c>
      <c r="B93" t="s">
        <v>231</v>
      </c>
      <c r="C93">
        <v>0</v>
      </c>
      <c r="D93">
        <v>0</v>
      </c>
      <c r="E93" t="s">
        <v>214</v>
      </c>
      <c r="F93" t="s">
        <v>234</v>
      </c>
    </row>
    <row r="94" spans="1:6" x14ac:dyDescent="0.25">
      <c r="A94">
        <v>23</v>
      </c>
      <c r="B94" t="s">
        <v>232</v>
      </c>
      <c r="C94">
        <v>0</v>
      </c>
      <c r="D94">
        <v>0</v>
      </c>
      <c r="E94" t="s">
        <v>214</v>
      </c>
      <c r="F94" t="s">
        <v>234</v>
      </c>
    </row>
    <row r="95" spans="1:6" x14ac:dyDescent="0.25">
      <c r="A95">
        <v>23</v>
      </c>
      <c r="B95" t="s">
        <v>241</v>
      </c>
      <c r="C95">
        <v>0</v>
      </c>
      <c r="D95">
        <v>0</v>
      </c>
      <c r="E95" t="s">
        <v>214</v>
      </c>
      <c r="F95" t="s">
        <v>234</v>
      </c>
    </row>
    <row r="96" spans="1:6" x14ac:dyDescent="0.25">
      <c r="A96">
        <v>24</v>
      </c>
      <c r="B96" t="s">
        <v>230</v>
      </c>
      <c r="C96">
        <v>0</v>
      </c>
      <c r="D96">
        <v>0</v>
      </c>
      <c r="E96" t="s">
        <v>214</v>
      </c>
      <c r="F96" t="s">
        <v>233</v>
      </c>
    </row>
    <row r="97" spans="1:6" x14ac:dyDescent="0.25">
      <c r="A97">
        <v>24</v>
      </c>
      <c r="B97" t="s">
        <v>231</v>
      </c>
      <c r="C97">
        <v>0</v>
      </c>
      <c r="D97">
        <v>0</v>
      </c>
      <c r="E97" t="s">
        <v>214</v>
      </c>
      <c r="F97" t="s">
        <v>234</v>
      </c>
    </row>
    <row r="98" spans="1:6" x14ac:dyDescent="0.25">
      <c r="A98">
        <v>24</v>
      </c>
      <c r="B98" t="s">
        <v>232</v>
      </c>
      <c r="C98">
        <v>0</v>
      </c>
      <c r="D98">
        <v>0</v>
      </c>
      <c r="E98" t="s">
        <v>214</v>
      </c>
      <c r="F98" t="s">
        <v>234</v>
      </c>
    </row>
    <row r="99" spans="1:6" x14ac:dyDescent="0.25">
      <c r="A99">
        <v>24</v>
      </c>
      <c r="B99" t="s">
        <v>241</v>
      </c>
      <c r="C99">
        <v>0</v>
      </c>
      <c r="D99">
        <v>0</v>
      </c>
      <c r="E99" t="s">
        <v>214</v>
      </c>
      <c r="F99" t="s">
        <v>234</v>
      </c>
    </row>
    <row r="100" spans="1:6" x14ac:dyDescent="0.25">
      <c r="A100">
        <v>25</v>
      </c>
      <c r="B100" t="s">
        <v>230</v>
      </c>
      <c r="C100">
        <v>0</v>
      </c>
      <c r="D100">
        <v>0</v>
      </c>
      <c r="E100" t="s">
        <v>214</v>
      </c>
      <c r="F100" t="s">
        <v>233</v>
      </c>
    </row>
    <row r="101" spans="1:6" x14ac:dyDescent="0.25">
      <c r="A101">
        <v>25</v>
      </c>
      <c r="B101" t="s">
        <v>231</v>
      </c>
      <c r="C101">
        <v>0</v>
      </c>
      <c r="D101">
        <v>0</v>
      </c>
      <c r="E101" t="s">
        <v>214</v>
      </c>
      <c r="F101" t="s">
        <v>234</v>
      </c>
    </row>
    <row r="102" spans="1:6" x14ac:dyDescent="0.25">
      <c r="A102">
        <v>25</v>
      </c>
      <c r="B102" t="s">
        <v>232</v>
      </c>
      <c r="C102">
        <v>0</v>
      </c>
      <c r="D102">
        <v>0</v>
      </c>
      <c r="E102" t="s">
        <v>214</v>
      </c>
      <c r="F102" t="s">
        <v>234</v>
      </c>
    </row>
    <row r="103" spans="1:6" x14ac:dyDescent="0.25">
      <c r="A103">
        <v>25</v>
      </c>
      <c r="B103" t="s">
        <v>241</v>
      </c>
      <c r="C103">
        <v>0</v>
      </c>
      <c r="D103">
        <v>0</v>
      </c>
      <c r="E103" t="s">
        <v>214</v>
      </c>
      <c r="F103" t="s">
        <v>234</v>
      </c>
    </row>
    <row r="104" spans="1:6" x14ac:dyDescent="0.25">
      <c r="A104">
        <v>26</v>
      </c>
      <c r="B104" t="s">
        <v>230</v>
      </c>
      <c r="C104">
        <v>0</v>
      </c>
      <c r="D104">
        <v>0</v>
      </c>
      <c r="E104" t="s">
        <v>214</v>
      </c>
      <c r="F104" t="s">
        <v>233</v>
      </c>
    </row>
    <row r="105" spans="1:6" x14ac:dyDescent="0.25">
      <c r="A105">
        <v>26</v>
      </c>
      <c r="B105" t="s">
        <v>231</v>
      </c>
      <c r="C105">
        <v>0</v>
      </c>
      <c r="D105">
        <v>0</v>
      </c>
      <c r="E105" t="s">
        <v>214</v>
      </c>
      <c r="F105" t="s">
        <v>234</v>
      </c>
    </row>
    <row r="106" spans="1:6" x14ac:dyDescent="0.25">
      <c r="A106">
        <v>26</v>
      </c>
      <c r="B106" t="s">
        <v>232</v>
      </c>
      <c r="C106">
        <v>0</v>
      </c>
      <c r="D106">
        <v>0</v>
      </c>
      <c r="E106" t="s">
        <v>214</v>
      </c>
      <c r="F106" t="s">
        <v>234</v>
      </c>
    </row>
    <row r="107" spans="1:6" x14ac:dyDescent="0.25">
      <c r="A107">
        <v>26</v>
      </c>
      <c r="B107" t="s">
        <v>241</v>
      </c>
      <c r="C107">
        <v>0</v>
      </c>
      <c r="D107">
        <v>0</v>
      </c>
      <c r="E107" t="s">
        <v>214</v>
      </c>
      <c r="F107" t="s">
        <v>234</v>
      </c>
    </row>
    <row r="108" spans="1:6" x14ac:dyDescent="0.25">
      <c r="A108">
        <v>27</v>
      </c>
      <c r="B108" t="s">
        <v>230</v>
      </c>
      <c r="C108">
        <v>0</v>
      </c>
      <c r="D108">
        <v>0</v>
      </c>
      <c r="E108" t="s">
        <v>214</v>
      </c>
      <c r="F108" t="s">
        <v>233</v>
      </c>
    </row>
    <row r="109" spans="1:6" x14ac:dyDescent="0.25">
      <c r="A109">
        <v>27</v>
      </c>
      <c r="B109" t="s">
        <v>231</v>
      </c>
      <c r="C109">
        <v>0</v>
      </c>
      <c r="D109">
        <v>0</v>
      </c>
      <c r="E109" t="s">
        <v>214</v>
      </c>
      <c r="F109" t="s">
        <v>234</v>
      </c>
    </row>
    <row r="110" spans="1:6" x14ac:dyDescent="0.25">
      <c r="A110">
        <v>27</v>
      </c>
      <c r="B110" t="s">
        <v>232</v>
      </c>
      <c r="C110">
        <v>0</v>
      </c>
      <c r="D110">
        <v>0</v>
      </c>
      <c r="E110" t="s">
        <v>214</v>
      </c>
      <c r="F110" t="s">
        <v>234</v>
      </c>
    </row>
    <row r="111" spans="1:6" x14ac:dyDescent="0.25">
      <c r="A111">
        <v>27</v>
      </c>
      <c r="B111" t="s">
        <v>241</v>
      </c>
      <c r="C111">
        <v>0</v>
      </c>
      <c r="D111">
        <v>0</v>
      </c>
      <c r="E111" t="s">
        <v>214</v>
      </c>
      <c r="F111" t="s">
        <v>234</v>
      </c>
    </row>
    <row r="112" spans="1:6" x14ac:dyDescent="0.25">
      <c r="A112">
        <v>28</v>
      </c>
      <c r="B112" t="s">
        <v>230</v>
      </c>
      <c r="C112">
        <v>2193.27</v>
      </c>
      <c r="D112">
        <v>2193.27</v>
      </c>
      <c r="E112" t="s">
        <v>214</v>
      </c>
      <c r="F112" t="s">
        <v>234</v>
      </c>
    </row>
    <row r="113" spans="1:6" x14ac:dyDescent="0.25">
      <c r="A113">
        <v>28</v>
      </c>
      <c r="B113" t="s">
        <v>231</v>
      </c>
      <c r="C113">
        <v>0</v>
      </c>
      <c r="D113">
        <v>0</v>
      </c>
      <c r="E113" t="s">
        <v>214</v>
      </c>
      <c r="F113" t="s">
        <v>234</v>
      </c>
    </row>
    <row r="114" spans="1:6" x14ac:dyDescent="0.25">
      <c r="A114">
        <v>28</v>
      </c>
      <c r="B114" t="s">
        <v>232</v>
      </c>
      <c r="C114">
        <v>0</v>
      </c>
      <c r="D114">
        <v>0</v>
      </c>
      <c r="E114" t="s">
        <v>214</v>
      </c>
      <c r="F114" t="s">
        <v>234</v>
      </c>
    </row>
    <row r="115" spans="1:6" x14ac:dyDescent="0.25">
      <c r="A115">
        <v>28</v>
      </c>
      <c r="B115" t="s">
        <v>241</v>
      </c>
      <c r="C115">
        <v>1095.28</v>
      </c>
      <c r="D115">
        <v>1051.0999999999999</v>
      </c>
      <c r="E115" t="s">
        <v>214</v>
      </c>
      <c r="F115" t="s">
        <v>234</v>
      </c>
    </row>
    <row r="116" spans="1:6" x14ac:dyDescent="0.25">
      <c r="A116">
        <v>29</v>
      </c>
      <c r="B116" t="s">
        <v>230</v>
      </c>
      <c r="C116">
        <v>0</v>
      </c>
      <c r="D116">
        <v>0</v>
      </c>
      <c r="E116" t="s">
        <v>214</v>
      </c>
      <c r="F116" t="s">
        <v>233</v>
      </c>
    </row>
    <row r="117" spans="1:6" x14ac:dyDescent="0.25">
      <c r="A117">
        <v>29</v>
      </c>
      <c r="B117" t="s">
        <v>231</v>
      </c>
      <c r="C117">
        <v>0</v>
      </c>
      <c r="D117">
        <v>0</v>
      </c>
      <c r="E117" t="s">
        <v>214</v>
      </c>
      <c r="F117" t="s">
        <v>234</v>
      </c>
    </row>
    <row r="118" spans="1:6" x14ac:dyDescent="0.25">
      <c r="A118">
        <v>29</v>
      </c>
      <c r="B118" t="s">
        <v>232</v>
      </c>
      <c r="C118">
        <v>0</v>
      </c>
      <c r="D118">
        <v>0</v>
      </c>
      <c r="E118" t="s">
        <v>214</v>
      </c>
      <c r="F118" t="s">
        <v>234</v>
      </c>
    </row>
    <row r="119" spans="1:6" x14ac:dyDescent="0.25">
      <c r="A119">
        <v>29</v>
      </c>
      <c r="B119" t="s">
        <v>241</v>
      </c>
      <c r="C119">
        <v>0</v>
      </c>
      <c r="D119">
        <v>0</v>
      </c>
      <c r="E119" t="s">
        <v>214</v>
      </c>
      <c r="F119" t="s">
        <v>234</v>
      </c>
    </row>
    <row r="120" spans="1:6" x14ac:dyDescent="0.25">
      <c r="A120">
        <v>30</v>
      </c>
      <c r="B120" t="s">
        <v>230</v>
      </c>
      <c r="C120">
        <v>0</v>
      </c>
      <c r="D120">
        <v>0</v>
      </c>
      <c r="E120" t="s">
        <v>214</v>
      </c>
      <c r="F120" t="s">
        <v>233</v>
      </c>
    </row>
    <row r="121" spans="1:6" x14ac:dyDescent="0.25">
      <c r="A121">
        <v>30</v>
      </c>
      <c r="B121" t="s">
        <v>231</v>
      </c>
      <c r="C121">
        <v>0</v>
      </c>
      <c r="D121">
        <v>0</v>
      </c>
      <c r="E121" t="s">
        <v>214</v>
      </c>
      <c r="F121" t="s">
        <v>234</v>
      </c>
    </row>
    <row r="122" spans="1:6" x14ac:dyDescent="0.25">
      <c r="A122">
        <v>30</v>
      </c>
      <c r="B122" t="s">
        <v>232</v>
      </c>
      <c r="C122">
        <v>0</v>
      </c>
      <c r="D122">
        <v>0</v>
      </c>
      <c r="E122" t="s">
        <v>214</v>
      </c>
      <c r="F122" t="s">
        <v>234</v>
      </c>
    </row>
    <row r="123" spans="1:6" x14ac:dyDescent="0.25">
      <c r="A123">
        <v>30</v>
      </c>
      <c r="B123" t="s">
        <v>241</v>
      </c>
      <c r="C123">
        <v>0</v>
      </c>
      <c r="D123">
        <v>0</v>
      </c>
      <c r="E123" t="s">
        <v>214</v>
      </c>
      <c r="F123" t="s">
        <v>234</v>
      </c>
    </row>
    <row r="124" spans="1:6" x14ac:dyDescent="0.25">
      <c r="A124">
        <v>31</v>
      </c>
      <c r="B124" t="s">
        <v>230</v>
      </c>
      <c r="C124">
        <v>1363.02</v>
      </c>
      <c r="D124">
        <v>1363.02</v>
      </c>
      <c r="E124" t="s">
        <v>214</v>
      </c>
      <c r="F124" t="s">
        <v>234</v>
      </c>
    </row>
    <row r="125" spans="1:6" x14ac:dyDescent="0.25">
      <c r="A125">
        <v>31</v>
      </c>
      <c r="B125" t="s">
        <v>231</v>
      </c>
      <c r="C125">
        <v>0</v>
      </c>
      <c r="D125">
        <v>0</v>
      </c>
      <c r="E125" t="s">
        <v>214</v>
      </c>
      <c r="F125" t="s">
        <v>234</v>
      </c>
    </row>
    <row r="126" spans="1:6" x14ac:dyDescent="0.25">
      <c r="A126">
        <v>31</v>
      </c>
      <c r="B126" t="s">
        <v>232</v>
      </c>
      <c r="C126">
        <v>0</v>
      </c>
      <c r="D126">
        <v>0</v>
      </c>
      <c r="E126" t="s">
        <v>214</v>
      </c>
      <c r="F126" t="s">
        <v>234</v>
      </c>
    </row>
    <row r="127" spans="1:6" x14ac:dyDescent="0.25">
      <c r="A127">
        <v>31</v>
      </c>
      <c r="B127" t="s">
        <v>241</v>
      </c>
      <c r="C127">
        <v>681.51</v>
      </c>
      <c r="D127">
        <v>663.81</v>
      </c>
      <c r="E127" t="s">
        <v>214</v>
      </c>
      <c r="F127" t="s">
        <v>234</v>
      </c>
    </row>
    <row r="128" spans="1:6" x14ac:dyDescent="0.25">
      <c r="A128">
        <v>32</v>
      </c>
      <c r="B128" t="s">
        <v>230</v>
      </c>
      <c r="C128">
        <v>0</v>
      </c>
      <c r="D128">
        <v>0</v>
      </c>
      <c r="E128" t="s">
        <v>214</v>
      </c>
      <c r="F128" t="s">
        <v>233</v>
      </c>
    </row>
    <row r="129" spans="1:6" x14ac:dyDescent="0.25">
      <c r="A129">
        <v>32</v>
      </c>
      <c r="B129" t="s">
        <v>231</v>
      </c>
      <c r="C129">
        <v>0</v>
      </c>
      <c r="D129">
        <v>0</v>
      </c>
      <c r="E129" t="s">
        <v>214</v>
      </c>
      <c r="F129" t="s">
        <v>234</v>
      </c>
    </row>
    <row r="130" spans="1:6" x14ac:dyDescent="0.25">
      <c r="A130">
        <v>32</v>
      </c>
      <c r="B130" t="s">
        <v>232</v>
      </c>
      <c r="C130">
        <v>0</v>
      </c>
      <c r="D130">
        <v>0</v>
      </c>
      <c r="E130" t="s">
        <v>214</v>
      </c>
      <c r="F130" t="s">
        <v>234</v>
      </c>
    </row>
    <row r="131" spans="1:6" x14ac:dyDescent="0.25">
      <c r="A131">
        <v>32</v>
      </c>
      <c r="B131" t="s">
        <v>241</v>
      </c>
      <c r="C131">
        <v>0</v>
      </c>
      <c r="D131">
        <v>0</v>
      </c>
      <c r="E131" t="s">
        <v>214</v>
      </c>
      <c r="F131" t="s">
        <v>234</v>
      </c>
    </row>
    <row r="132" spans="1:6" x14ac:dyDescent="0.25">
      <c r="A132">
        <v>33</v>
      </c>
      <c r="B132" t="s">
        <v>230</v>
      </c>
      <c r="C132">
        <v>741.03</v>
      </c>
      <c r="D132">
        <v>741.03</v>
      </c>
      <c r="E132" t="s">
        <v>214</v>
      </c>
      <c r="F132" t="s">
        <v>234</v>
      </c>
    </row>
    <row r="133" spans="1:6" x14ac:dyDescent="0.25">
      <c r="A133">
        <v>33</v>
      </c>
      <c r="B133" t="s">
        <v>231</v>
      </c>
      <c r="C133">
        <v>0</v>
      </c>
      <c r="D133">
        <v>0</v>
      </c>
      <c r="E133" t="s">
        <v>214</v>
      </c>
      <c r="F133" t="s">
        <v>234</v>
      </c>
    </row>
    <row r="134" spans="1:6" x14ac:dyDescent="0.25">
      <c r="A134">
        <v>33</v>
      </c>
      <c r="B134" t="s">
        <v>232</v>
      </c>
      <c r="C134">
        <v>0</v>
      </c>
      <c r="D134">
        <v>0</v>
      </c>
      <c r="E134" t="s">
        <v>214</v>
      </c>
      <c r="F134" t="s">
        <v>234</v>
      </c>
    </row>
    <row r="135" spans="1:6" x14ac:dyDescent="0.25">
      <c r="A135">
        <v>33</v>
      </c>
      <c r="B135" t="s">
        <v>241</v>
      </c>
      <c r="C135">
        <v>367.81</v>
      </c>
      <c r="D135">
        <v>230.04</v>
      </c>
      <c r="E135" t="s">
        <v>214</v>
      </c>
      <c r="F135" t="s">
        <v>234</v>
      </c>
    </row>
    <row r="136" spans="1:6" x14ac:dyDescent="0.25">
      <c r="A136">
        <v>34</v>
      </c>
      <c r="B136" t="s">
        <v>230</v>
      </c>
      <c r="C136">
        <v>0</v>
      </c>
      <c r="D136">
        <v>0</v>
      </c>
      <c r="E136" t="s">
        <v>214</v>
      </c>
      <c r="F136" t="s">
        <v>233</v>
      </c>
    </row>
    <row r="137" spans="1:6" x14ac:dyDescent="0.25">
      <c r="A137">
        <v>34</v>
      </c>
      <c r="B137" t="s">
        <v>231</v>
      </c>
      <c r="C137">
        <v>0</v>
      </c>
      <c r="D137">
        <v>0</v>
      </c>
      <c r="E137" t="s">
        <v>214</v>
      </c>
      <c r="F137" t="s">
        <v>234</v>
      </c>
    </row>
    <row r="138" spans="1:6" x14ac:dyDescent="0.25">
      <c r="A138">
        <v>34</v>
      </c>
      <c r="B138" t="s">
        <v>232</v>
      </c>
      <c r="C138">
        <v>0</v>
      </c>
      <c r="D138">
        <v>0</v>
      </c>
      <c r="E138" t="s">
        <v>214</v>
      </c>
      <c r="F138" t="s">
        <v>234</v>
      </c>
    </row>
    <row r="139" spans="1:6" x14ac:dyDescent="0.25">
      <c r="A139">
        <v>34</v>
      </c>
      <c r="B139" t="s">
        <v>241</v>
      </c>
      <c r="C139">
        <v>0</v>
      </c>
      <c r="D139">
        <v>0</v>
      </c>
      <c r="E139" t="s">
        <v>214</v>
      </c>
      <c r="F139" t="s">
        <v>234</v>
      </c>
    </row>
    <row r="140" spans="1:6" x14ac:dyDescent="0.25">
      <c r="A140">
        <v>35</v>
      </c>
      <c r="B140" t="s">
        <v>230</v>
      </c>
      <c r="C140">
        <v>0</v>
      </c>
      <c r="D140">
        <v>0</v>
      </c>
      <c r="E140" t="s">
        <v>214</v>
      </c>
      <c r="F140" t="s">
        <v>233</v>
      </c>
    </row>
    <row r="141" spans="1:6" x14ac:dyDescent="0.25">
      <c r="A141">
        <v>35</v>
      </c>
      <c r="B141" t="s">
        <v>231</v>
      </c>
      <c r="C141">
        <v>0</v>
      </c>
      <c r="D141">
        <v>0</v>
      </c>
      <c r="E141" t="s">
        <v>214</v>
      </c>
      <c r="F141" t="s">
        <v>234</v>
      </c>
    </row>
    <row r="142" spans="1:6" x14ac:dyDescent="0.25">
      <c r="A142">
        <v>35</v>
      </c>
      <c r="B142" t="s">
        <v>232</v>
      </c>
      <c r="C142">
        <v>0</v>
      </c>
      <c r="D142">
        <v>0</v>
      </c>
      <c r="E142" t="s">
        <v>214</v>
      </c>
      <c r="F142" t="s">
        <v>234</v>
      </c>
    </row>
    <row r="143" spans="1:6" x14ac:dyDescent="0.25">
      <c r="A143">
        <v>35</v>
      </c>
      <c r="B143" t="s">
        <v>241</v>
      </c>
      <c r="C143">
        <v>0</v>
      </c>
      <c r="D143">
        <v>0</v>
      </c>
      <c r="E143" t="s">
        <v>214</v>
      </c>
      <c r="F143" t="s">
        <v>234</v>
      </c>
    </row>
    <row r="144" spans="1:6" x14ac:dyDescent="0.25">
      <c r="A144">
        <v>36</v>
      </c>
      <c r="B144" t="s">
        <v>230</v>
      </c>
      <c r="C144">
        <v>0</v>
      </c>
      <c r="D144">
        <v>0</v>
      </c>
      <c r="E144" t="s">
        <v>214</v>
      </c>
      <c r="F144" t="s">
        <v>233</v>
      </c>
    </row>
    <row r="145" spans="1:6" x14ac:dyDescent="0.25">
      <c r="A145">
        <v>36</v>
      </c>
      <c r="B145" t="s">
        <v>231</v>
      </c>
      <c r="C145">
        <v>0</v>
      </c>
      <c r="D145">
        <v>0</v>
      </c>
      <c r="E145" t="s">
        <v>214</v>
      </c>
      <c r="F145" t="s">
        <v>234</v>
      </c>
    </row>
    <row r="146" spans="1:6" x14ac:dyDescent="0.25">
      <c r="A146">
        <v>36</v>
      </c>
      <c r="B146" t="s">
        <v>232</v>
      </c>
      <c r="C146">
        <v>0</v>
      </c>
      <c r="D146">
        <v>0</v>
      </c>
      <c r="E146" t="s">
        <v>214</v>
      </c>
      <c r="F146" t="s">
        <v>234</v>
      </c>
    </row>
    <row r="147" spans="1:6" x14ac:dyDescent="0.25">
      <c r="A147">
        <v>36</v>
      </c>
      <c r="B147" t="s">
        <v>241</v>
      </c>
      <c r="C147">
        <v>0</v>
      </c>
      <c r="D147">
        <v>0</v>
      </c>
      <c r="E147" t="s">
        <v>214</v>
      </c>
      <c r="F147" t="s">
        <v>234</v>
      </c>
    </row>
    <row r="148" spans="1:6" x14ac:dyDescent="0.25">
      <c r="A148">
        <v>37</v>
      </c>
      <c r="B148" t="s">
        <v>230</v>
      </c>
      <c r="C148">
        <v>0</v>
      </c>
      <c r="D148">
        <v>0</v>
      </c>
      <c r="E148" t="s">
        <v>214</v>
      </c>
      <c r="F148" t="s">
        <v>233</v>
      </c>
    </row>
    <row r="149" spans="1:6" x14ac:dyDescent="0.25">
      <c r="A149">
        <v>37</v>
      </c>
      <c r="B149" t="s">
        <v>231</v>
      </c>
      <c r="C149">
        <v>0</v>
      </c>
      <c r="D149">
        <v>0</v>
      </c>
      <c r="E149" t="s">
        <v>214</v>
      </c>
      <c r="F149" t="s">
        <v>234</v>
      </c>
    </row>
    <row r="150" spans="1:6" x14ac:dyDescent="0.25">
      <c r="A150">
        <v>37</v>
      </c>
      <c r="B150" t="s">
        <v>232</v>
      </c>
      <c r="C150">
        <v>0</v>
      </c>
      <c r="D150">
        <v>0</v>
      </c>
      <c r="E150" t="s">
        <v>214</v>
      </c>
      <c r="F150" t="s">
        <v>234</v>
      </c>
    </row>
    <row r="151" spans="1:6" x14ac:dyDescent="0.25">
      <c r="A151">
        <v>37</v>
      </c>
      <c r="B151" t="s">
        <v>241</v>
      </c>
      <c r="C151">
        <v>0</v>
      </c>
      <c r="D151">
        <v>0</v>
      </c>
      <c r="E151" t="s">
        <v>214</v>
      </c>
      <c r="F151" t="s">
        <v>234</v>
      </c>
    </row>
    <row r="152" spans="1:6" x14ac:dyDescent="0.25">
      <c r="A152">
        <v>38</v>
      </c>
      <c r="B152" t="s">
        <v>230</v>
      </c>
      <c r="C152">
        <v>0</v>
      </c>
      <c r="D152">
        <v>0</v>
      </c>
      <c r="E152" t="s">
        <v>214</v>
      </c>
      <c r="F152" t="s">
        <v>233</v>
      </c>
    </row>
    <row r="153" spans="1:6" x14ac:dyDescent="0.25">
      <c r="A153">
        <v>38</v>
      </c>
      <c r="B153" t="s">
        <v>231</v>
      </c>
      <c r="C153">
        <v>0</v>
      </c>
      <c r="D153">
        <v>0</v>
      </c>
      <c r="E153" t="s">
        <v>214</v>
      </c>
      <c r="F153" t="s">
        <v>234</v>
      </c>
    </row>
    <row r="154" spans="1:6" x14ac:dyDescent="0.25">
      <c r="A154">
        <v>38</v>
      </c>
      <c r="B154" t="s">
        <v>232</v>
      </c>
      <c r="C154">
        <v>0</v>
      </c>
      <c r="D154">
        <v>0</v>
      </c>
      <c r="E154" t="s">
        <v>214</v>
      </c>
      <c r="F154" t="s">
        <v>234</v>
      </c>
    </row>
    <row r="155" spans="1:6" x14ac:dyDescent="0.25">
      <c r="A155">
        <v>38</v>
      </c>
      <c r="B155" t="s">
        <v>241</v>
      </c>
      <c r="C155">
        <v>0</v>
      </c>
      <c r="D155">
        <v>0</v>
      </c>
      <c r="E155" t="s">
        <v>214</v>
      </c>
      <c r="F155" t="s">
        <v>234</v>
      </c>
    </row>
    <row r="156" spans="1:6" x14ac:dyDescent="0.25">
      <c r="A156">
        <v>39</v>
      </c>
      <c r="B156" t="s">
        <v>230</v>
      </c>
      <c r="C156">
        <v>0</v>
      </c>
      <c r="D156">
        <v>0</v>
      </c>
      <c r="E156" t="s">
        <v>214</v>
      </c>
      <c r="F156" t="s">
        <v>233</v>
      </c>
    </row>
    <row r="157" spans="1:6" x14ac:dyDescent="0.25">
      <c r="A157">
        <v>39</v>
      </c>
      <c r="B157" t="s">
        <v>231</v>
      </c>
      <c r="C157">
        <v>0</v>
      </c>
      <c r="D157">
        <v>0</v>
      </c>
      <c r="E157" t="s">
        <v>214</v>
      </c>
      <c r="F157" t="s">
        <v>234</v>
      </c>
    </row>
    <row r="158" spans="1:6" x14ac:dyDescent="0.25">
      <c r="A158">
        <v>39</v>
      </c>
      <c r="B158" t="s">
        <v>232</v>
      </c>
      <c r="C158">
        <v>0</v>
      </c>
      <c r="D158">
        <v>0</v>
      </c>
      <c r="E158" t="s">
        <v>214</v>
      </c>
      <c r="F158" t="s">
        <v>234</v>
      </c>
    </row>
    <row r="159" spans="1:6" x14ac:dyDescent="0.25">
      <c r="A159">
        <v>39</v>
      </c>
      <c r="B159" t="s">
        <v>241</v>
      </c>
      <c r="C159">
        <v>0</v>
      </c>
      <c r="D159">
        <v>0</v>
      </c>
      <c r="E159" t="s">
        <v>214</v>
      </c>
      <c r="F159" t="s">
        <v>234</v>
      </c>
    </row>
    <row r="160" spans="1:6" x14ac:dyDescent="0.25">
      <c r="A160">
        <v>40</v>
      </c>
      <c r="B160" t="s">
        <v>230</v>
      </c>
      <c r="C160">
        <v>0</v>
      </c>
      <c r="D160">
        <v>0</v>
      </c>
      <c r="E160" t="s">
        <v>214</v>
      </c>
      <c r="F160" t="s">
        <v>233</v>
      </c>
    </row>
    <row r="161" spans="1:6" x14ac:dyDescent="0.25">
      <c r="A161">
        <v>40</v>
      </c>
      <c r="B161" t="s">
        <v>231</v>
      </c>
      <c r="C161">
        <v>0</v>
      </c>
      <c r="D161">
        <v>0</v>
      </c>
      <c r="E161" t="s">
        <v>214</v>
      </c>
      <c r="F161" t="s">
        <v>234</v>
      </c>
    </row>
    <row r="162" spans="1:6" x14ac:dyDescent="0.25">
      <c r="A162">
        <v>40</v>
      </c>
      <c r="B162" t="s">
        <v>232</v>
      </c>
      <c r="C162">
        <v>0</v>
      </c>
      <c r="D162">
        <v>0</v>
      </c>
      <c r="E162" t="s">
        <v>214</v>
      </c>
      <c r="F162" t="s">
        <v>234</v>
      </c>
    </row>
    <row r="163" spans="1:6" x14ac:dyDescent="0.25">
      <c r="A163">
        <v>40</v>
      </c>
      <c r="B163" t="s">
        <v>241</v>
      </c>
      <c r="C163">
        <v>0</v>
      </c>
      <c r="D163">
        <v>0</v>
      </c>
      <c r="E163" t="s">
        <v>214</v>
      </c>
      <c r="F163" t="s">
        <v>234</v>
      </c>
    </row>
    <row r="164" spans="1:6" x14ac:dyDescent="0.25">
      <c r="A164">
        <v>41</v>
      </c>
      <c r="B164" t="s">
        <v>230</v>
      </c>
      <c r="C164">
        <v>0</v>
      </c>
      <c r="D164">
        <v>0</v>
      </c>
      <c r="E164" t="s">
        <v>214</v>
      </c>
      <c r="F164" t="s">
        <v>233</v>
      </c>
    </row>
    <row r="165" spans="1:6" x14ac:dyDescent="0.25">
      <c r="A165">
        <v>41</v>
      </c>
      <c r="B165" t="s">
        <v>231</v>
      </c>
      <c r="C165">
        <v>0</v>
      </c>
      <c r="D165">
        <v>0</v>
      </c>
      <c r="E165" t="s">
        <v>214</v>
      </c>
      <c r="F165" t="s">
        <v>234</v>
      </c>
    </row>
    <row r="166" spans="1:6" x14ac:dyDescent="0.25">
      <c r="A166">
        <v>41</v>
      </c>
      <c r="B166" t="s">
        <v>232</v>
      </c>
      <c r="C166">
        <v>0</v>
      </c>
      <c r="D166">
        <v>0</v>
      </c>
      <c r="E166" t="s">
        <v>214</v>
      </c>
      <c r="F166" t="s">
        <v>234</v>
      </c>
    </row>
    <row r="167" spans="1:6" x14ac:dyDescent="0.25">
      <c r="A167">
        <v>41</v>
      </c>
      <c r="B167" t="s">
        <v>241</v>
      </c>
      <c r="C167">
        <v>0</v>
      </c>
      <c r="D167">
        <v>0</v>
      </c>
      <c r="E167" t="s">
        <v>214</v>
      </c>
      <c r="F167" t="s">
        <v>234</v>
      </c>
    </row>
    <row r="168" spans="1:6" x14ac:dyDescent="0.25">
      <c r="A168">
        <v>42</v>
      </c>
      <c r="B168" t="s">
        <v>230</v>
      </c>
      <c r="C168">
        <v>0</v>
      </c>
      <c r="D168">
        <v>0</v>
      </c>
      <c r="E168" t="s">
        <v>214</v>
      </c>
      <c r="F168" t="s">
        <v>233</v>
      </c>
    </row>
    <row r="169" spans="1:6" x14ac:dyDescent="0.25">
      <c r="A169">
        <v>42</v>
      </c>
      <c r="B169" t="s">
        <v>231</v>
      </c>
      <c r="C169">
        <v>0</v>
      </c>
      <c r="D169">
        <v>0</v>
      </c>
      <c r="E169" t="s">
        <v>214</v>
      </c>
      <c r="F169" t="s">
        <v>234</v>
      </c>
    </row>
    <row r="170" spans="1:6" x14ac:dyDescent="0.25">
      <c r="A170">
        <v>42</v>
      </c>
      <c r="B170" t="s">
        <v>232</v>
      </c>
      <c r="C170">
        <v>0</v>
      </c>
      <c r="D170">
        <v>0</v>
      </c>
      <c r="E170" t="s">
        <v>214</v>
      </c>
      <c r="F170" t="s">
        <v>234</v>
      </c>
    </row>
    <row r="171" spans="1:6" x14ac:dyDescent="0.25">
      <c r="A171">
        <v>42</v>
      </c>
      <c r="B171" t="s">
        <v>241</v>
      </c>
      <c r="C171">
        <v>0</v>
      </c>
      <c r="D171">
        <v>0</v>
      </c>
      <c r="E171" t="s">
        <v>214</v>
      </c>
      <c r="F171" t="s">
        <v>234</v>
      </c>
    </row>
    <row r="172" spans="1:6" x14ac:dyDescent="0.25">
      <c r="A172">
        <v>43</v>
      </c>
      <c r="B172" t="s">
        <v>230</v>
      </c>
      <c r="C172">
        <v>0</v>
      </c>
      <c r="D172">
        <v>0</v>
      </c>
      <c r="E172" t="s">
        <v>214</v>
      </c>
      <c r="F172" t="s">
        <v>233</v>
      </c>
    </row>
    <row r="173" spans="1:6" x14ac:dyDescent="0.25">
      <c r="A173">
        <v>43</v>
      </c>
      <c r="B173" t="s">
        <v>231</v>
      </c>
      <c r="C173">
        <v>0</v>
      </c>
      <c r="D173">
        <v>0</v>
      </c>
      <c r="E173" t="s">
        <v>214</v>
      </c>
      <c r="F173" t="s">
        <v>234</v>
      </c>
    </row>
    <row r="174" spans="1:6" x14ac:dyDescent="0.25">
      <c r="A174">
        <v>43</v>
      </c>
      <c r="B174" t="s">
        <v>232</v>
      </c>
      <c r="C174">
        <v>0</v>
      </c>
      <c r="D174">
        <v>0</v>
      </c>
      <c r="E174" t="s">
        <v>214</v>
      </c>
      <c r="F174" t="s">
        <v>234</v>
      </c>
    </row>
    <row r="175" spans="1:6" x14ac:dyDescent="0.25">
      <c r="A175">
        <v>43</v>
      </c>
      <c r="B175" t="s">
        <v>241</v>
      </c>
      <c r="C175">
        <v>0</v>
      </c>
      <c r="D175">
        <v>0</v>
      </c>
      <c r="E175" t="s">
        <v>214</v>
      </c>
      <c r="F175" t="s">
        <v>234</v>
      </c>
    </row>
    <row r="176" spans="1:6" x14ac:dyDescent="0.25">
      <c r="A176">
        <v>44</v>
      </c>
      <c r="B176" t="s">
        <v>230</v>
      </c>
      <c r="C176">
        <v>0</v>
      </c>
      <c r="D176">
        <v>0</v>
      </c>
      <c r="E176" t="s">
        <v>214</v>
      </c>
      <c r="F176" t="s">
        <v>233</v>
      </c>
    </row>
    <row r="177" spans="1:6" x14ac:dyDescent="0.25">
      <c r="A177">
        <v>44</v>
      </c>
      <c r="B177" t="s">
        <v>231</v>
      </c>
      <c r="C177">
        <v>0</v>
      </c>
      <c r="D177">
        <v>0</v>
      </c>
      <c r="E177" t="s">
        <v>214</v>
      </c>
      <c r="F177" t="s">
        <v>234</v>
      </c>
    </row>
    <row r="178" spans="1:6" x14ac:dyDescent="0.25">
      <c r="A178">
        <v>44</v>
      </c>
      <c r="B178" t="s">
        <v>232</v>
      </c>
      <c r="C178">
        <v>0</v>
      </c>
      <c r="D178">
        <v>0</v>
      </c>
      <c r="E178" t="s">
        <v>214</v>
      </c>
      <c r="F178" t="s">
        <v>234</v>
      </c>
    </row>
    <row r="179" spans="1:6" x14ac:dyDescent="0.25">
      <c r="A179">
        <v>44</v>
      </c>
      <c r="B179" t="s">
        <v>241</v>
      </c>
      <c r="C179">
        <v>0</v>
      </c>
      <c r="D179">
        <v>0</v>
      </c>
      <c r="E179" t="s">
        <v>214</v>
      </c>
      <c r="F179" t="s">
        <v>234</v>
      </c>
    </row>
    <row r="180" spans="1:6" x14ac:dyDescent="0.25">
      <c r="A180">
        <v>45</v>
      </c>
      <c r="B180" t="s">
        <v>230</v>
      </c>
      <c r="C180">
        <v>1862.61</v>
      </c>
      <c r="D180">
        <v>1862.61</v>
      </c>
      <c r="E180" t="s">
        <v>214</v>
      </c>
      <c r="F180" t="s">
        <v>233</v>
      </c>
    </row>
    <row r="181" spans="1:6" x14ac:dyDescent="0.25">
      <c r="A181">
        <v>45</v>
      </c>
      <c r="B181" t="s">
        <v>231</v>
      </c>
      <c r="C181">
        <v>22661.8</v>
      </c>
      <c r="D181">
        <v>17320.91</v>
      </c>
      <c r="E181" t="s">
        <v>214</v>
      </c>
      <c r="F181" t="s">
        <v>234</v>
      </c>
    </row>
    <row r="182" spans="1:6" x14ac:dyDescent="0.25">
      <c r="A182">
        <v>45</v>
      </c>
      <c r="B182" t="s">
        <v>232</v>
      </c>
      <c r="C182">
        <v>101978.1</v>
      </c>
      <c r="D182">
        <v>77944.11</v>
      </c>
      <c r="E182" t="s">
        <v>214</v>
      </c>
      <c r="F182" t="s">
        <v>234</v>
      </c>
    </row>
    <row r="183" spans="1:6" x14ac:dyDescent="0.25">
      <c r="A183">
        <v>45</v>
      </c>
      <c r="B183" t="s">
        <v>241</v>
      </c>
      <c r="C183">
        <v>929.13</v>
      </c>
      <c r="D183">
        <v>710.15</v>
      </c>
      <c r="E183" t="s">
        <v>214</v>
      </c>
      <c r="F183" t="s">
        <v>234</v>
      </c>
    </row>
    <row r="184" spans="1:6" x14ac:dyDescent="0.25">
      <c r="A184">
        <v>46</v>
      </c>
      <c r="B184" t="s">
        <v>230</v>
      </c>
      <c r="C184">
        <v>0</v>
      </c>
      <c r="D184">
        <v>0</v>
      </c>
      <c r="E184" t="s">
        <v>214</v>
      </c>
      <c r="F184" t="s">
        <v>233</v>
      </c>
    </row>
    <row r="185" spans="1:6" x14ac:dyDescent="0.25">
      <c r="A185">
        <v>46</v>
      </c>
      <c r="B185" t="s">
        <v>231</v>
      </c>
      <c r="C185">
        <v>0</v>
      </c>
      <c r="D185">
        <v>0</v>
      </c>
      <c r="E185" t="s">
        <v>214</v>
      </c>
      <c r="F185" t="s">
        <v>234</v>
      </c>
    </row>
    <row r="186" spans="1:6" x14ac:dyDescent="0.25">
      <c r="A186">
        <v>46</v>
      </c>
      <c r="B186" t="s">
        <v>232</v>
      </c>
      <c r="C186">
        <v>0</v>
      </c>
      <c r="D186">
        <v>0</v>
      </c>
      <c r="E186" t="s">
        <v>214</v>
      </c>
      <c r="F186" t="s">
        <v>234</v>
      </c>
    </row>
    <row r="187" spans="1:6" x14ac:dyDescent="0.25">
      <c r="A187">
        <v>46</v>
      </c>
      <c r="B187" t="s">
        <v>241</v>
      </c>
      <c r="C187">
        <v>0</v>
      </c>
      <c r="D187">
        <v>0</v>
      </c>
      <c r="E187" t="s">
        <v>214</v>
      </c>
      <c r="F187" t="s">
        <v>234</v>
      </c>
    </row>
    <row r="188" spans="1:6" x14ac:dyDescent="0.25">
      <c r="A188">
        <v>47</v>
      </c>
      <c r="B188" t="s">
        <v>230</v>
      </c>
      <c r="C188">
        <v>0</v>
      </c>
      <c r="D188">
        <v>0</v>
      </c>
      <c r="E188" t="s">
        <v>214</v>
      </c>
      <c r="F188" t="s">
        <v>233</v>
      </c>
    </row>
    <row r="189" spans="1:6" x14ac:dyDescent="0.25">
      <c r="A189">
        <v>47</v>
      </c>
      <c r="B189" t="s">
        <v>231</v>
      </c>
      <c r="C189">
        <v>0</v>
      </c>
      <c r="D189">
        <v>0</v>
      </c>
      <c r="E189" t="s">
        <v>214</v>
      </c>
      <c r="F189" t="s">
        <v>234</v>
      </c>
    </row>
    <row r="190" spans="1:6" x14ac:dyDescent="0.25">
      <c r="A190">
        <v>47</v>
      </c>
      <c r="B190" t="s">
        <v>232</v>
      </c>
      <c r="C190">
        <v>0</v>
      </c>
      <c r="D190">
        <v>0</v>
      </c>
      <c r="E190" t="s">
        <v>214</v>
      </c>
      <c r="F190" t="s">
        <v>234</v>
      </c>
    </row>
    <row r="191" spans="1:6" x14ac:dyDescent="0.25">
      <c r="A191">
        <v>47</v>
      </c>
      <c r="B191" t="s">
        <v>241</v>
      </c>
      <c r="C191">
        <v>0</v>
      </c>
      <c r="D191">
        <v>0</v>
      </c>
      <c r="E191" t="s">
        <v>214</v>
      </c>
      <c r="F191" t="s">
        <v>234</v>
      </c>
    </row>
    <row r="192" spans="1:6" x14ac:dyDescent="0.25">
      <c r="A192">
        <v>48</v>
      </c>
      <c r="B192" t="s">
        <v>230</v>
      </c>
      <c r="C192" s="12">
        <v>11868.44</v>
      </c>
      <c r="D192" s="12">
        <v>8803.5400000000009</v>
      </c>
      <c r="E192" t="s">
        <v>214</v>
      </c>
      <c r="F192" t="s">
        <v>233</v>
      </c>
    </row>
    <row r="193" spans="1:6" x14ac:dyDescent="0.25">
      <c r="A193">
        <v>48</v>
      </c>
      <c r="B193" t="s">
        <v>231</v>
      </c>
      <c r="C193" s="12">
        <v>85190</v>
      </c>
      <c r="D193" s="12">
        <v>63190.6</v>
      </c>
      <c r="E193" t="s">
        <v>214</v>
      </c>
      <c r="F193" t="s">
        <v>234</v>
      </c>
    </row>
    <row r="194" spans="1:6" x14ac:dyDescent="0.25">
      <c r="A194">
        <v>48</v>
      </c>
      <c r="B194" t="s">
        <v>232</v>
      </c>
      <c r="C194" s="12">
        <v>0</v>
      </c>
      <c r="D194" s="12">
        <v>0</v>
      </c>
      <c r="E194" t="s">
        <v>214</v>
      </c>
      <c r="F194" t="s">
        <v>234</v>
      </c>
    </row>
    <row r="195" spans="1:6" x14ac:dyDescent="0.25">
      <c r="A195">
        <v>48</v>
      </c>
      <c r="B195" t="s">
        <v>241</v>
      </c>
      <c r="C195" s="12">
        <v>5934.22</v>
      </c>
      <c r="D195" s="12">
        <v>4401.78</v>
      </c>
      <c r="E195" t="s">
        <v>214</v>
      </c>
      <c r="F195" t="s">
        <v>234</v>
      </c>
    </row>
    <row r="196" spans="1:6" x14ac:dyDescent="0.25">
      <c r="A196">
        <v>49</v>
      </c>
      <c r="B196" t="s">
        <v>230</v>
      </c>
      <c r="C196" s="12">
        <v>15142.2</v>
      </c>
      <c r="D196" s="12">
        <v>11300.06</v>
      </c>
      <c r="E196" t="s">
        <v>214</v>
      </c>
      <c r="F196" t="s">
        <v>233</v>
      </c>
    </row>
    <row r="197" spans="1:6" x14ac:dyDescent="0.25">
      <c r="A197">
        <v>49</v>
      </c>
      <c r="B197" t="s">
        <v>231</v>
      </c>
      <c r="C197" s="12">
        <v>72409.5</v>
      </c>
      <c r="D197" s="12">
        <v>54036.5</v>
      </c>
      <c r="E197" t="s">
        <v>214</v>
      </c>
      <c r="F197" t="s">
        <v>234</v>
      </c>
    </row>
    <row r="198" spans="1:6" x14ac:dyDescent="0.25">
      <c r="A198">
        <v>49</v>
      </c>
      <c r="B198" t="s">
        <v>232</v>
      </c>
      <c r="C198" s="12">
        <v>0</v>
      </c>
      <c r="D198" s="12">
        <v>0</v>
      </c>
      <c r="E198" t="s">
        <v>214</v>
      </c>
      <c r="F198" t="s">
        <v>234</v>
      </c>
    </row>
    <row r="199" spans="1:6" x14ac:dyDescent="0.25">
      <c r="A199">
        <v>49</v>
      </c>
      <c r="B199" t="s">
        <v>241</v>
      </c>
      <c r="C199" s="12">
        <v>7571.1</v>
      </c>
      <c r="D199" s="12">
        <v>5650.08</v>
      </c>
      <c r="E199" t="s">
        <v>214</v>
      </c>
      <c r="F199" t="s">
        <v>234</v>
      </c>
    </row>
    <row r="200" spans="1:6" x14ac:dyDescent="0.25">
      <c r="A200">
        <v>50</v>
      </c>
      <c r="B200" t="s">
        <v>230</v>
      </c>
      <c r="C200">
        <v>0</v>
      </c>
      <c r="D200">
        <v>0</v>
      </c>
      <c r="E200" t="s">
        <v>214</v>
      </c>
      <c r="F200" t="s">
        <v>233</v>
      </c>
    </row>
    <row r="201" spans="1:6" x14ac:dyDescent="0.25">
      <c r="A201">
        <v>50</v>
      </c>
      <c r="B201" t="s">
        <v>231</v>
      </c>
      <c r="C201">
        <v>0</v>
      </c>
      <c r="D201">
        <v>0</v>
      </c>
      <c r="E201" t="s">
        <v>214</v>
      </c>
      <c r="F201" t="s">
        <v>234</v>
      </c>
    </row>
    <row r="202" spans="1:6" x14ac:dyDescent="0.25">
      <c r="A202">
        <v>50</v>
      </c>
      <c r="B202" t="s">
        <v>232</v>
      </c>
      <c r="C202">
        <v>0</v>
      </c>
      <c r="D202">
        <v>0</v>
      </c>
      <c r="E202" t="s">
        <v>214</v>
      </c>
      <c r="F202" t="s">
        <v>234</v>
      </c>
    </row>
    <row r="203" spans="1:6" x14ac:dyDescent="0.25">
      <c r="A203">
        <v>50</v>
      </c>
      <c r="B203" t="s">
        <v>241</v>
      </c>
      <c r="C203">
        <v>0</v>
      </c>
      <c r="D203">
        <v>0</v>
      </c>
      <c r="E203" t="s">
        <v>214</v>
      </c>
      <c r="F203" t="s">
        <v>234</v>
      </c>
    </row>
    <row r="204" spans="1:6" x14ac:dyDescent="0.25">
      <c r="A204">
        <v>51</v>
      </c>
      <c r="B204" t="s">
        <v>230</v>
      </c>
      <c r="C204">
        <v>0</v>
      </c>
      <c r="D204">
        <v>0</v>
      </c>
      <c r="E204" t="s">
        <v>214</v>
      </c>
      <c r="F204" t="s">
        <v>233</v>
      </c>
    </row>
    <row r="205" spans="1:6" x14ac:dyDescent="0.25">
      <c r="A205">
        <v>51</v>
      </c>
      <c r="B205" t="s">
        <v>231</v>
      </c>
      <c r="C205">
        <v>0</v>
      </c>
      <c r="D205">
        <v>0</v>
      </c>
      <c r="E205" t="s">
        <v>214</v>
      </c>
      <c r="F205" t="s">
        <v>234</v>
      </c>
    </row>
    <row r="206" spans="1:6" x14ac:dyDescent="0.25">
      <c r="A206">
        <v>51</v>
      </c>
      <c r="B206" t="s">
        <v>232</v>
      </c>
      <c r="C206">
        <v>0</v>
      </c>
      <c r="D206">
        <v>0</v>
      </c>
      <c r="E206" t="s">
        <v>214</v>
      </c>
      <c r="F206" t="s">
        <v>234</v>
      </c>
    </row>
    <row r="207" spans="1:6" x14ac:dyDescent="0.25">
      <c r="A207">
        <v>51</v>
      </c>
      <c r="B207" t="s">
        <v>241</v>
      </c>
      <c r="C207">
        <v>0</v>
      </c>
      <c r="D207">
        <v>0</v>
      </c>
      <c r="E207" t="s">
        <v>214</v>
      </c>
      <c r="F207" t="s">
        <v>234</v>
      </c>
    </row>
    <row r="208" spans="1:6" x14ac:dyDescent="0.25">
      <c r="A208">
        <v>52</v>
      </c>
      <c r="B208" t="s">
        <v>230</v>
      </c>
      <c r="C208">
        <v>0</v>
      </c>
      <c r="D208">
        <v>0</v>
      </c>
      <c r="E208" t="s">
        <v>214</v>
      </c>
      <c r="F208" t="s">
        <v>233</v>
      </c>
    </row>
    <row r="209" spans="1:6" x14ac:dyDescent="0.25">
      <c r="A209">
        <v>52</v>
      </c>
      <c r="B209" t="s">
        <v>231</v>
      </c>
      <c r="C209">
        <v>0</v>
      </c>
      <c r="D209">
        <v>0</v>
      </c>
      <c r="E209" t="s">
        <v>214</v>
      </c>
      <c r="F209" t="s">
        <v>234</v>
      </c>
    </row>
    <row r="210" spans="1:6" x14ac:dyDescent="0.25">
      <c r="A210">
        <v>52</v>
      </c>
      <c r="B210" t="s">
        <v>232</v>
      </c>
      <c r="C210">
        <v>0</v>
      </c>
      <c r="D210">
        <v>0</v>
      </c>
      <c r="E210" t="s">
        <v>214</v>
      </c>
      <c r="F210" t="s">
        <v>234</v>
      </c>
    </row>
    <row r="211" spans="1:6" x14ac:dyDescent="0.25">
      <c r="A211">
        <v>52</v>
      </c>
      <c r="B211" t="s">
        <v>241</v>
      </c>
      <c r="C211">
        <v>0</v>
      </c>
      <c r="D211">
        <v>0</v>
      </c>
      <c r="E211" t="s">
        <v>214</v>
      </c>
      <c r="F211" t="s">
        <v>234</v>
      </c>
    </row>
    <row r="212" spans="1:6" x14ac:dyDescent="0.25">
      <c r="A212">
        <v>53</v>
      </c>
      <c r="B212" t="s">
        <v>230</v>
      </c>
      <c r="C212">
        <v>0</v>
      </c>
      <c r="D212">
        <v>0</v>
      </c>
      <c r="E212" t="s">
        <v>214</v>
      </c>
      <c r="F212" t="s">
        <v>233</v>
      </c>
    </row>
    <row r="213" spans="1:6" x14ac:dyDescent="0.25">
      <c r="A213">
        <v>53</v>
      </c>
      <c r="B213" t="s">
        <v>231</v>
      </c>
      <c r="C213">
        <v>0</v>
      </c>
      <c r="D213">
        <v>0</v>
      </c>
      <c r="E213" t="s">
        <v>214</v>
      </c>
      <c r="F213" t="s">
        <v>234</v>
      </c>
    </row>
    <row r="214" spans="1:6" x14ac:dyDescent="0.25">
      <c r="A214">
        <v>53</v>
      </c>
      <c r="B214" t="s">
        <v>232</v>
      </c>
      <c r="C214">
        <v>0</v>
      </c>
      <c r="D214">
        <v>0</v>
      </c>
      <c r="E214" t="s">
        <v>214</v>
      </c>
      <c r="F214" t="s">
        <v>234</v>
      </c>
    </row>
    <row r="215" spans="1:6" x14ac:dyDescent="0.25">
      <c r="A215">
        <v>53</v>
      </c>
      <c r="B215" t="s">
        <v>241</v>
      </c>
      <c r="C215">
        <v>0</v>
      </c>
      <c r="D215">
        <v>0</v>
      </c>
      <c r="E215" t="s">
        <v>214</v>
      </c>
      <c r="F215" t="s">
        <v>234</v>
      </c>
    </row>
    <row r="216" spans="1:6" x14ac:dyDescent="0.25">
      <c r="A216">
        <v>54</v>
      </c>
      <c r="B216" t="s">
        <v>230</v>
      </c>
      <c r="C216">
        <v>0</v>
      </c>
      <c r="D216">
        <v>0</v>
      </c>
      <c r="E216" t="s">
        <v>214</v>
      </c>
      <c r="F216" t="s">
        <v>233</v>
      </c>
    </row>
    <row r="217" spans="1:6" x14ac:dyDescent="0.25">
      <c r="A217">
        <v>54</v>
      </c>
      <c r="B217" t="s">
        <v>231</v>
      </c>
      <c r="C217">
        <v>0</v>
      </c>
      <c r="D217">
        <v>0</v>
      </c>
      <c r="E217" t="s">
        <v>214</v>
      </c>
      <c r="F217" t="s">
        <v>234</v>
      </c>
    </row>
    <row r="218" spans="1:6" x14ac:dyDescent="0.25">
      <c r="A218">
        <v>54</v>
      </c>
      <c r="B218" t="s">
        <v>232</v>
      </c>
      <c r="C218">
        <v>0</v>
      </c>
      <c r="D218">
        <v>0</v>
      </c>
      <c r="E218" t="s">
        <v>214</v>
      </c>
      <c r="F218" t="s">
        <v>234</v>
      </c>
    </row>
    <row r="219" spans="1:6" x14ac:dyDescent="0.25">
      <c r="A219">
        <v>54</v>
      </c>
      <c r="B219" t="s">
        <v>241</v>
      </c>
      <c r="C219">
        <v>1679.98</v>
      </c>
      <c r="D219">
        <v>1598.38</v>
      </c>
      <c r="E219" t="s">
        <v>214</v>
      </c>
      <c r="F219" t="s">
        <v>234</v>
      </c>
    </row>
    <row r="220" spans="1:6" x14ac:dyDescent="0.25">
      <c r="A220">
        <v>55</v>
      </c>
      <c r="B220" t="s">
        <v>230</v>
      </c>
      <c r="C220">
        <v>1700</v>
      </c>
      <c r="D220">
        <v>1700</v>
      </c>
      <c r="E220" t="s">
        <v>214</v>
      </c>
      <c r="F220" t="s">
        <v>234</v>
      </c>
    </row>
    <row r="221" spans="1:6" x14ac:dyDescent="0.25">
      <c r="A221">
        <v>55</v>
      </c>
      <c r="B221" t="s">
        <v>231</v>
      </c>
      <c r="C221">
        <v>5000</v>
      </c>
      <c r="D221">
        <v>4660.79</v>
      </c>
      <c r="E221" t="s">
        <v>214</v>
      </c>
      <c r="F221" t="s">
        <v>234</v>
      </c>
    </row>
    <row r="222" spans="1:6" x14ac:dyDescent="0.25">
      <c r="A222">
        <v>55</v>
      </c>
      <c r="B222" t="s">
        <v>232</v>
      </c>
      <c r="C222">
        <v>0</v>
      </c>
      <c r="D222">
        <v>0</v>
      </c>
      <c r="E222" t="s">
        <v>214</v>
      </c>
      <c r="F222" t="s">
        <v>234</v>
      </c>
    </row>
    <row r="223" spans="1:6" x14ac:dyDescent="0.25">
      <c r="A223">
        <v>55</v>
      </c>
      <c r="B223" t="s">
        <v>241</v>
      </c>
      <c r="C223">
        <v>850</v>
      </c>
      <c r="D223">
        <v>792.33</v>
      </c>
      <c r="E223" t="s">
        <v>214</v>
      </c>
      <c r="F223" t="s">
        <v>234</v>
      </c>
    </row>
    <row r="224" spans="1:6" x14ac:dyDescent="0.25">
      <c r="A224">
        <v>56</v>
      </c>
      <c r="B224" t="s">
        <v>230</v>
      </c>
      <c r="C224">
        <v>0</v>
      </c>
      <c r="D224">
        <v>0</v>
      </c>
      <c r="E224" t="s">
        <v>214</v>
      </c>
      <c r="F224" t="s">
        <v>233</v>
      </c>
    </row>
    <row r="225" spans="1:6" x14ac:dyDescent="0.25">
      <c r="A225">
        <v>56</v>
      </c>
      <c r="B225" t="s">
        <v>231</v>
      </c>
      <c r="C225">
        <v>0</v>
      </c>
      <c r="D225">
        <v>0</v>
      </c>
      <c r="E225" t="s">
        <v>214</v>
      </c>
      <c r="F225" t="s">
        <v>234</v>
      </c>
    </row>
    <row r="226" spans="1:6" x14ac:dyDescent="0.25">
      <c r="A226">
        <v>56</v>
      </c>
      <c r="B226" t="s">
        <v>232</v>
      </c>
      <c r="C226">
        <v>0</v>
      </c>
      <c r="D226">
        <v>0</v>
      </c>
      <c r="E226" t="s">
        <v>214</v>
      </c>
      <c r="F226" t="s">
        <v>234</v>
      </c>
    </row>
    <row r="227" spans="1:6" x14ac:dyDescent="0.25">
      <c r="A227">
        <v>56</v>
      </c>
      <c r="B227" t="s">
        <v>241</v>
      </c>
      <c r="C227">
        <v>0</v>
      </c>
      <c r="D227">
        <v>0</v>
      </c>
      <c r="E227" t="s">
        <v>214</v>
      </c>
      <c r="F227" t="s">
        <v>234</v>
      </c>
    </row>
    <row r="228" spans="1:6" x14ac:dyDescent="0.25">
      <c r="A228">
        <v>57</v>
      </c>
      <c r="B228" t="s">
        <v>230</v>
      </c>
      <c r="C228">
        <v>0</v>
      </c>
      <c r="D228">
        <v>0</v>
      </c>
      <c r="E228" t="s">
        <v>214</v>
      </c>
      <c r="F228" t="s">
        <v>233</v>
      </c>
    </row>
    <row r="229" spans="1:6" x14ac:dyDescent="0.25">
      <c r="A229">
        <v>57</v>
      </c>
      <c r="B229" t="s">
        <v>231</v>
      </c>
      <c r="C229">
        <v>0</v>
      </c>
      <c r="D229">
        <v>0</v>
      </c>
      <c r="E229" t="s">
        <v>214</v>
      </c>
      <c r="F229" t="s">
        <v>234</v>
      </c>
    </row>
    <row r="230" spans="1:6" x14ac:dyDescent="0.25">
      <c r="A230">
        <v>57</v>
      </c>
      <c r="B230" t="s">
        <v>232</v>
      </c>
      <c r="C230">
        <v>0</v>
      </c>
      <c r="D230">
        <v>0</v>
      </c>
      <c r="E230" t="s">
        <v>214</v>
      </c>
      <c r="F230" t="s">
        <v>234</v>
      </c>
    </row>
    <row r="231" spans="1:6" x14ac:dyDescent="0.25">
      <c r="A231">
        <v>57</v>
      </c>
      <c r="B231" t="s">
        <v>241</v>
      </c>
      <c r="C231">
        <v>0</v>
      </c>
      <c r="D231">
        <v>0</v>
      </c>
      <c r="E231" t="s">
        <v>214</v>
      </c>
      <c r="F231" t="s">
        <v>234</v>
      </c>
    </row>
    <row r="232" spans="1:6" x14ac:dyDescent="0.25">
      <c r="A232">
        <v>58</v>
      </c>
      <c r="B232" t="s">
        <v>230</v>
      </c>
      <c r="C232">
        <v>0</v>
      </c>
      <c r="D232">
        <v>0</v>
      </c>
      <c r="E232" t="s">
        <v>214</v>
      </c>
      <c r="F232" t="s">
        <v>233</v>
      </c>
    </row>
    <row r="233" spans="1:6" x14ac:dyDescent="0.25">
      <c r="A233">
        <v>58</v>
      </c>
      <c r="B233" t="s">
        <v>231</v>
      </c>
      <c r="C233">
        <v>0</v>
      </c>
      <c r="D233">
        <v>0</v>
      </c>
      <c r="E233" t="s">
        <v>214</v>
      </c>
      <c r="F233" t="s">
        <v>234</v>
      </c>
    </row>
    <row r="234" spans="1:6" x14ac:dyDescent="0.25">
      <c r="A234">
        <v>58</v>
      </c>
      <c r="B234" t="s">
        <v>232</v>
      </c>
      <c r="C234">
        <v>0</v>
      </c>
      <c r="D234">
        <v>0</v>
      </c>
      <c r="E234" t="s">
        <v>214</v>
      </c>
      <c r="F234" t="s">
        <v>234</v>
      </c>
    </row>
    <row r="235" spans="1:6" x14ac:dyDescent="0.25">
      <c r="A235">
        <v>58</v>
      </c>
      <c r="B235" t="s">
        <v>241</v>
      </c>
      <c r="C235">
        <v>0</v>
      </c>
      <c r="D235">
        <v>0</v>
      </c>
      <c r="E235" t="s">
        <v>214</v>
      </c>
      <c r="F235" t="s">
        <v>234</v>
      </c>
    </row>
    <row r="236" spans="1:6" x14ac:dyDescent="0.25">
      <c r="A236">
        <v>59</v>
      </c>
      <c r="B236" t="s">
        <v>230</v>
      </c>
      <c r="C236">
        <v>0</v>
      </c>
      <c r="D236">
        <v>0</v>
      </c>
      <c r="E236" t="s">
        <v>214</v>
      </c>
      <c r="F236" t="s">
        <v>233</v>
      </c>
    </row>
    <row r="237" spans="1:6" x14ac:dyDescent="0.25">
      <c r="A237">
        <v>59</v>
      </c>
      <c r="B237" t="s">
        <v>231</v>
      </c>
      <c r="C237">
        <v>0</v>
      </c>
      <c r="D237">
        <v>0</v>
      </c>
      <c r="E237" t="s">
        <v>214</v>
      </c>
      <c r="F237" t="s">
        <v>234</v>
      </c>
    </row>
    <row r="238" spans="1:6" x14ac:dyDescent="0.25">
      <c r="A238">
        <v>59</v>
      </c>
      <c r="B238" t="s">
        <v>232</v>
      </c>
      <c r="C238">
        <v>0</v>
      </c>
      <c r="D238">
        <v>0</v>
      </c>
      <c r="E238" t="s">
        <v>214</v>
      </c>
      <c r="F238" t="s">
        <v>234</v>
      </c>
    </row>
    <row r="239" spans="1:6" x14ac:dyDescent="0.25">
      <c r="A239">
        <v>59</v>
      </c>
      <c r="B239" t="s">
        <v>241</v>
      </c>
      <c r="C239">
        <v>0</v>
      </c>
      <c r="D239">
        <v>0</v>
      </c>
      <c r="E239" t="s">
        <v>214</v>
      </c>
      <c r="F239" t="s">
        <v>234</v>
      </c>
    </row>
    <row r="240" spans="1:6" s="12" customFormat="1" x14ac:dyDescent="0.25">
      <c r="A240" s="4">
        <v>60</v>
      </c>
      <c r="B240" s="4" t="s">
        <v>230</v>
      </c>
      <c r="C240" s="4">
        <v>2037.47</v>
      </c>
      <c r="D240" s="4">
        <v>2037.47</v>
      </c>
      <c r="E240" s="4" t="s">
        <v>214</v>
      </c>
      <c r="F240" s="4" t="s">
        <v>233</v>
      </c>
    </row>
    <row r="241" spans="1:6" s="12" customFormat="1" x14ac:dyDescent="0.25">
      <c r="A241" s="4">
        <v>60</v>
      </c>
      <c r="B241" s="4" t="s">
        <v>231</v>
      </c>
      <c r="C241" s="4">
        <v>0</v>
      </c>
      <c r="D241" s="4">
        <v>0</v>
      </c>
      <c r="E241" s="4" t="s">
        <v>214</v>
      </c>
      <c r="F241" s="4" t="s">
        <v>234</v>
      </c>
    </row>
    <row r="242" spans="1:6" s="12" customFormat="1" x14ac:dyDescent="0.25">
      <c r="A242" s="4">
        <v>60</v>
      </c>
      <c r="B242" s="4" t="s">
        <v>232</v>
      </c>
      <c r="C242" s="4">
        <v>0</v>
      </c>
      <c r="D242" s="4">
        <v>0</v>
      </c>
      <c r="E242" s="4" t="s">
        <v>214</v>
      </c>
      <c r="F242" s="4" t="s">
        <v>234</v>
      </c>
    </row>
    <row r="243" spans="1:6" s="12" customFormat="1" x14ac:dyDescent="0.25">
      <c r="A243" s="4">
        <v>60</v>
      </c>
      <c r="B243" s="4" t="s">
        <v>241</v>
      </c>
      <c r="C243" s="4">
        <v>1018.73</v>
      </c>
      <c r="D243" s="4">
        <v>849.63</v>
      </c>
      <c r="E243" s="4" t="s">
        <v>214</v>
      </c>
      <c r="F243" s="4" t="s">
        <v>234</v>
      </c>
    </row>
    <row r="244" spans="1:6" s="12" customFormat="1" x14ac:dyDescent="0.25">
      <c r="A244" s="4">
        <v>61</v>
      </c>
      <c r="B244" s="4" t="s">
        <v>230</v>
      </c>
      <c r="C244" s="4">
        <v>0</v>
      </c>
      <c r="D244" s="4">
        <v>0</v>
      </c>
      <c r="E244" s="4" t="s">
        <v>214</v>
      </c>
      <c r="F244" s="4" t="s">
        <v>233</v>
      </c>
    </row>
    <row r="245" spans="1:6" s="12" customFormat="1" x14ac:dyDescent="0.25">
      <c r="A245" s="4">
        <v>61</v>
      </c>
      <c r="B245" s="4" t="s">
        <v>231</v>
      </c>
      <c r="C245" s="4">
        <v>0</v>
      </c>
      <c r="D245" s="4">
        <v>0</v>
      </c>
      <c r="E245" s="4" t="s">
        <v>214</v>
      </c>
      <c r="F245" s="4" t="s">
        <v>234</v>
      </c>
    </row>
    <row r="246" spans="1:6" s="12" customFormat="1" x14ac:dyDescent="0.25">
      <c r="A246" s="4">
        <v>61</v>
      </c>
      <c r="B246" s="4" t="s">
        <v>232</v>
      </c>
      <c r="C246" s="4">
        <v>0</v>
      </c>
      <c r="D246" s="4">
        <v>0</v>
      </c>
      <c r="E246" s="4" t="s">
        <v>214</v>
      </c>
      <c r="F246" s="4" t="s">
        <v>234</v>
      </c>
    </row>
    <row r="247" spans="1:6" s="12" customFormat="1" x14ac:dyDescent="0.25">
      <c r="A247" s="4">
        <v>61</v>
      </c>
      <c r="B247" s="4" t="s">
        <v>241</v>
      </c>
      <c r="C247" s="4">
        <v>0</v>
      </c>
      <c r="D247" s="4">
        <v>0</v>
      </c>
      <c r="E247" s="4" t="s">
        <v>214</v>
      </c>
      <c r="F247" s="4" t="s">
        <v>234</v>
      </c>
    </row>
    <row r="248" spans="1:6" s="12" customFormat="1" x14ac:dyDescent="0.25">
      <c r="A248" s="4">
        <v>62</v>
      </c>
      <c r="B248" s="4" t="s">
        <v>230</v>
      </c>
      <c r="C248" s="4">
        <v>0</v>
      </c>
      <c r="D248" s="4">
        <v>0</v>
      </c>
      <c r="E248" s="4" t="s">
        <v>214</v>
      </c>
      <c r="F248" s="4" t="s">
        <v>234</v>
      </c>
    </row>
    <row r="249" spans="1:6" s="12" customFormat="1" x14ac:dyDescent="0.25">
      <c r="A249" s="4">
        <v>62</v>
      </c>
      <c r="B249" s="4" t="s">
        <v>231</v>
      </c>
      <c r="C249" s="4">
        <v>0</v>
      </c>
      <c r="D249" s="4">
        <v>0</v>
      </c>
      <c r="E249" s="4" t="s">
        <v>214</v>
      </c>
      <c r="F249" s="4" t="s">
        <v>234</v>
      </c>
    </row>
    <row r="250" spans="1:6" s="12" customFormat="1" x14ac:dyDescent="0.25">
      <c r="A250" s="4">
        <v>62</v>
      </c>
      <c r="B250" s="4" t="s">
        <v>232</v>
      </c>
      <c r="C250" s="4">
        <v>0</v>
      </c>
      <c r="D250" s="4">
        <v>0</v>
      </c>
      <c r="E250" s="4" t="s">
        <v>214</v>
      </c>
      <c r="F250" s="4" t="s">
        <v>234</v>
      </c>
    </row>
    <row r="251" spans="1:6" s="12" customFormat="1" x14ac:dyDescent="0.25">
      <c r="A251" s="4">
        <v>62</v>
      </c>
      <c r="B251" s="4" t="s">
        <v>241</v>
      </c>
      <c r="C251" s="4">
        <v>0</v>
      </c>
      <c r="D251" s="4">
        <v>0</v>
      </c>
      <c r="E251" s="4" t="s">
        <v>214</v>
      </c>
      <c r="F251" s="4" t="s">
        <v>234</v>
      </c>
    </row>
    <row r="252" spans="1:6" s="12" customFormat="1" x14ac:dyDescent="0.25">
      <c r="A252" s="4">
        <v>63</v>
      </c>
      <c r="B252" s="4" t="s">
        <v>230</v>
      </c>
      <c r="C252" s="4">
        <v>0</v>
      </c>
      <c r="D252" s="4">
        <v>0</v>
      </c>
      <c r="E252" s="4" t="s">
        <v>214</v>
      </c>
      <c r="F252" s="4" t="s">
        <v>233</v>
      </c>
    </row>
    <row r="253" spans="1:6" s="12" customFormat="1" x14ac:dyDescent="0.25">
      <c r="A253" s="4">
        <v>63</v>
      </c>
      <c r="B253" s="4" t="s">
        <v>231</v>
      </c>
      <c r="C253" s="4">
        <v>0</v>
      </c>
      <c r="D253" s="4">
        <v>0</v>
      </c>
      <c r="E253" s="4" t="s">
        <v>214</v>
      </c>
      <c r="F253" s="4" t="s">
        <v>234</v>
      </c>
    </row>
    <row r="254" spans="1:6" s="12" customFormat="1" x14ac:dyDescent="0.25">
      <c r="A254" s="4">
        <v>63</v>
      </c>
      <c r="B254" s="4" t="s">
        <v>232</v>
      </c>
      <c r="C254" s="4">
        <v>0</v>
      </c>
      <c r="D254" s="4">
        <v>0</v>
      </c>
      <c r="E254" s="4" t="s">
        <v>214</v>
      </c>
      <c r="F254" s="4" t="s">
        <v>234</v>
      </c>
    </row>
    <row r="255" spans="1:6" s="12" customFormat="1" x14ac:dyDescent="0.25">
      <c r="A255" s="4">
        <v>63</v>
      </c>
      <c r="B255" s="4" t="s">
        <v>241</v>
      </c>
      <c r="C255" s="4">
        <v>0</v>
      </c>
      <c r="D255" s="4">
        <v>0</v>
      </c>
      <c r="E255" s="4" t="s">
        <v>214</v>
      </c>
      <c r="F255" s="4" t="s">
        <v>234</v>
      </c>
    </row>
    <row r="256" spans="1:6" s="12" customFormat="1" x14ac:dyDescent="0.25">
      <c r="A256" s="4">
        <v>64</v>
      </c>
      <c r="B256" s="4" t="s">
        <v>230</v>
      </c>
      <c r="C256" s="4">
        <v>0</v>
      </c>
      <c r="D256" s="4">
        <v>0</v>
      </c>
      <c r="E256" s="4" t="s">
        <v>214</v>
      </c>
      <c r="F256" s="4" t="s">
        <v>233</v>
      </c>
    </row>
    <row r="257" spans="1:6" s="12" customFormat="1" x14ac:dyDescent="0.25">
      <c r="A257" s="4">
        <v>64</v>
      </c>
      <c r="B257" s="4" t="s">
        <v>231</v>
      </c>
      <c r="C257" s="4">
        <v>0</v>
      </c>
      <c r="D257" s="4">
        <v>0</v>
      </c>
      <c r="E257" s="4" t="s">
        <v>214</v>
      </c>
      <c r="F257" s="4" t="s">
        <v>234</v>
      </c>
    </row>
    <row r="258" spans="1:6" s="12" customFormat="1" x14ac:dyDescent="0.25">
      <c r="A258" s="4">
        <v>64</v>
      </c>
      <c r="B258" s="4" t="s">
        <v>232</v>
      </c>
      <c r="C258" s="4">
        <v>0</v>
      </c>
      <c r="D258" s="4">
        <v>0</v>
      </c>
      <c r="E258" s="4" t="s">
        <v>214</v>
      </c>
      <c r="F258" s="4" t="s">
        <v>234</v>
      </c>
    </row>
    <row r="259" spans="1:6" s="12" customFormat="1" x14ac:dyDescent="0.25">
      <c r="A259" s="4">
        <v>64</v>
      </c>
      <c r="B259" s="4" t="s">
        <v>241</v>
      </c>
      <c r="C259" s="4">
        <v>0</v>
      </c>
      <c r="D259" s="4">
        <v>0</v>
      </c>
      <c r="E259" s="4" t="s">
        <v>214</v>
      </c>
      <c r="F259" s="4" t="s">
        <v>234</v>
      </c>
    </row>
    <row r="260" spans="1:6" s="12" customFormat="1" x14ac:dyDescent="0.25">
      <c r="A260" s="4">
        <v>65</v>
      </c>
      <c r="B260" s="4" t="s">
        <v>230</v>
      </c>
      <c r="C260" s="6">
        <v>6638.49</v>
      </c>
      <c r="D260" s="4">
        <v>4518.54</v>
      </c>
      <c r="E260" s="4" t="s">
        <v>214</v>
      </c>
      <c r="F260" s="4" t="s">
        <v>233</v>
      </c>
    </row>
    <row r="261" spans="1:6" s="12" customFormat="1" x14ac:dyDescent="0.25">
      <c r="A261" s="4">
        <v>65</v>
      </c>
      <c r="B261" s="4" t="s">
        <v>231</v>
      </c>
      <c r="C261" s="6">
        <f>102943.2+38495</f>
        <v>141438.20000000001</v>
      </c>
      <c r="D261" s="4">
        <v>96271.07</v>
      </c>
      <c r="E261" s="4" t="s">
        <v>214</v>
      </c>
      <c r="F261" s="4" t="s">
        <v>234</v>
      </c>
    </row>
    <row r="262" spans="1:6" s="12" customFormat="1" x14ac:dyDescent="0.25">
      <c r="A262" s="4">
        <v>65</v>
      </c>
      <c r="B262" s="4" t="s">
        <v>232</v>
      </c>
      <c r="C262" s="6">
        <v>77207.399999999994</v>
      </c>
      <c r="D262" s="4">
        <v>52551.85</v>
      </c>
      <c r="E262" s="4" t="s">
        <v>214</v>
      </c>
      <c r="F262" s="4" t="s">
        <v>234</v>
      </c>
    </row>
    <row r="263" spans="1:6" s="12" customFormat="1" x14ac:dyDescent="0.25">
      <c r="A263" s="4">
        <v>65</v>
      </c>
      <c r="B263" s="4" t="s">
        <v>241</v>
      </c>
      <c r="C263" s="6">
        <v>6638.49</v>
      </c>
      <c r="D263" s="4">
        <v>4518.54</v>
      </c>
      <c r="E263" s="4" t="s">
        <v>214</v>
      </c>
      <c r="F263" s="4" t="s">
        <v>234</v>
      </c>
    </row>
    <row r="264" spans="1:6" s="12" customFormat="1" x14ac:dyDescent="0.25">
      <c r="A264" s="4">
        <v>66</v>
      </c>
      <c r="B264" s="4" t="s">
        <v>230</v>
      </c>
      <c r="C264" s="4">
        <v>0</v>
      </c>
      <c r="D264" s="4">
        <v>0</v>
      </c>
      <c r="E264" s="4" t="s">
        <v>214</v>
      </c>
      <c r="F264" s="4" t="s">
        <v>233</v>
      </c>
    </row>
    <row r="265" spans="1:6" s="12" customFormat="1" x14ac:dyDescent="0.25">
      <c r="A265" s="4">
        <v>66</v>
      </c>
      <c r="B265" s="4" t="s">
        <v>231</v>
      </c>
      <c r="C265" s="4">
        <v>0</v>
      </c>
      <c r="D265" s="4">
        <v>0</v>
      </c>
      <c r="E265" s="4" t="s">
        <v>214</v>
      </c>
      <c r="F265" s="4" t="s">
        <v>234</v>
      </c>
    </row>
    <row r="266" spans="1:6" s="12" customFormat="1" x14ac:dyDescent="0.25">
      <c r="A266" s="4">
        <v>66</v>
      </c>
      <c r="B266" s="4" t="s">
        <v>232</v>
      </c>
      <c r="C266" s="4">
        <v>0</v>
      </c>
      <c r="D266" s="4">
        <v>0</v>
      </c>
      <c r="E266" s="4" t="s">
        <v>214</v>
      </c>
      <c r="F266" s="4" t="s">
        <v>234</v>
      </c>
    </row>
    <row r="267" spans="1:6" s="12" customFormat="1" x14ac:dyDescent="0.25">
      <c r="A267" s="4">
        <v>66</v>
      </c>
      <c r="B267" s="4" t="s">
        <v>241</v>
      </c>
      <c r="C267" s="4">
        <v>0</v>
      </c>
      <c r="D267" s="4">
        <v>0</v>
      </c>
      <c r="E267" s="4" t="s">
        <v>214</v>
      </c>
      <c r="F267" s="4" t="s">
        <v>234</v>
      </c>
    </row>
    <row r="268" spans="1:6" s="12" customFormat="1" x14ac:dyDescent="0.25">
      <c r="A268" s="4">
        <v>67</v>
      </c>
      <c r="B268" s="4" t="s">
        <v>230</v>
      </c>
      <c r="C268" s="4">
        <v>0</v>
      </c>
      <c r="D268" s="4">
        <v>0</v>
      </c>
      <c r="E268" s="4" t="s">
        <v>214</v>
      </c>
      <c r="F268" s="4" t="s">
        <v>233</v>
      </c>
    </row>
    <row r="269" spans="1:6" s="12" customFormat="1" x14ac:dyDescent="0.25">
      <c r="A269" s="4">
        <v>67</v>
      </c>
      <c r="B269" s="4" t="s">
        <v>231</v>
      </c>
      <c r="C269" s="4">
        <v>0</v>
      </c>
      <c r="D269" s="4">
        <v>0</v>
      </c>
      <c r="E269" s="4" t="s">
        <v>214</v>
      </c>
      <c r="F269" s="4" t="s">
        <v>234</v>
      </c>
    </row>
    <row r="270" spans="1:6" s="12" customFormat="1" x14ac:dyDescent="0.25">
      <c r="A270" s="4">
        <v>67</v>
      </c>
      <c r="B270" s="4" t="s">
        <v>232</v>
      </c>
      <c r="C270" s="4">
        <v>0</v>
      </c>
      <c r="D270" s="4">
        <v>0</v>
      </c>
      <c r="E270" s="4" t="s">
        <v>214</v>
      </c>
      <c r="F270" s="4" t="s">
        <v>234</v>
      </c>
    </row>
    <row r="271" spans="1:6" s="12" customFormat="1" x14ac:dyDescent="0.25">
      <c r="A271" s="4">
        <v>67</v>
      </c>
      <c r="B271" s="4" t="s">
        <v>241</v>
      </c>
      <c r="C271" s="4">
        <v>0</v>
      </c>
      <c r="D271" s="4">
        <v>0</v>
      </c>
      <c r="E271" s="4" t="s">
        <v>214</v>
      </c>
      <c r="F271" s="4" t="s">
        <v>234</v>
      </c>
    </row>
    <row r="272" spans="1:6" x14ac:dyDescent="0.25">
      <c r="A272" s="5">
        <v>1</v>
      </c>
      <c r="B272" s="5" t="s">
        <v>230</v>
      </c>
      <c r="C272" s="7">
        <v>45323.6</v>
      </c>
      <c r="D272" s="7">
        <v>35232.199999999997</v>
      </c>
      <c r="E272" s="7" t="s">
        <v>214</v>
      </c>
      <c r="F272" s="7" t="s">
        <v>233</v>
      </c>
    </row>
    <row r="273" spans="1:7" x14ac:dyDescent="0.25">
      <c r="A273" s="5">
        <v>1</v>
      </c>
      <c r="B273" s="5" t="s">
        <v>231</v>
      </c>
      <c r="C273" s="7">
        <v>0</v>
      </c>
      <c r="D273" s="7">
        <v>0</v>
      </c>
      <c r="E273" s="7" t="s">
        <v>214</v>
      </c>
      <c r="F273" s="7" t="s">
        <v>234</v>
      </c>
    </row>
    <row r="274" spans="1:7" x14ac:dyDescent="0.25">
      <c r="A274" s="5">
        <v>1</v>
      </c>
      <c r="B274" s="5" t="s">
        <v>232</v>
      </c>
      <c r="C274" s="7">
        <v>0</v>
      </c>
      <c r="D274" s="7">
        <v>0</v>
      </c>
      <c r="E274" s="7" t="s">
        <v>214</v>
      </c>
      <c r="F274" s="7" t="s">
        <v>234</v>
      </c>
    </row>
    <row r="275" spans="1:7" x14ac:dyDescent="0.25">
      <c r="A275" s="5">
        <v>1</v>
      </c>
      <c r="B275" s="5" t="s">
        <v>241</v>
      </c>
      <c r="C275" s="7">
        <v>0</v>
      </c>
      <c r="D275" s="7">
        <v>0</v>
      </c>
      <c r="E275" s="7" t="s">
        <v>214</v>
      </c>
      <c r="F275" s="7" t="s">
        <v>234</v>
      </c>
    </row>
    <row r="276" spans="1:7" x14ac:dyDescent="0.25">
      <c r="A276" s="5">
        <v>2</v>
      </c>
      <c r="B276" s="5" t="s">
        <v>230</v>
      </c>
      <c r="C276" s="7">
        <v>13333.6</v>
      </c>
      <c r="D276" s="7">
        <v>12294.26</v>
      </c>
      <c r="E276" s="7" t="s">
        <v>214</v>
      </c>
      <c r="F276" s="7" t="s">
        <v>233</v>
      </c>
    </row>
    <row r="277" spans="1:7" x14ac:dyDescent="0.25">
      <c r="A277" s="5">
        <v>2</v>
      </c>
      <c r="B277" s="5" t="s">
        <v>231</v>
      </c>
      <c r="C277" s="7">
        <v>0</v>
      </c>
      <c r="D277" s="7">
        <v>0</v>
      </c>
      <c r="E277" s="7" t="s">
        <v>214</v>
      </c>
      <c r="F277" s="7" t="s">
        <v>234</v>
      </c>
    </row>
    <row r="278" spans="1:7" x14ac:dyDescent="0.25">
      <c r="A278" s="5">
        <v>2</v>
      </c>
      <c r="B278" s="5" t="s">
        <v>232</v>
      </c>
      <c r="C278" s="7">
        <v>0</v>
      </c>
      <c r="D278" s="7">
        <v>0</v>
      </c>
      <c r="E278" s="7" t="s">
        <v>214</v>
      </c>
      <c r="F278" s="7" t="s">
        <v>234</v>
      </c>
    </row>
    <row r="279" spans="1:7" x14ac:dyDescent="0.25">
      <c r="A279" s="5">
        <v>2</v>
      </c>
      <c r="B279" s="5" t="s">
        <v>241</v>
      </c>
      <c r="C279" s="7">
        <v>0</v>
      </c>
      <c r="D279" s="7">
        <v>0</v>
      </c>
      <c r="E279" s="7" t="s">
        <v>214</v>
      </c>
      <c r="F279" s="7" t="s">
        <v>234</v>
      </c>
    </row>
    <row r="280" spans="1:7" x14ac:dyDescent="0.25">
      <c r="A280" s="5">
        <v>3</v>
      </c>
      <c r="B280" s="5" t="s">
        <v>230</v>
      </c>
      <c r="C280" s="7">
        <v>13400.01</v>
      </c>
      <c r="D280" s="7">
        <v>11862.81</v>
      </c>
      <c r="E280" s="7" t="s">
        <v>214</v>
      </c>
      <c r="F280" s="7" t="s">
        <v>233</v>
      </c>
    </row>
    <row r="281" spans="1:7" x14ac:dyDescent="0.25">
      <c r="A281" s="5">
        <v>3</v>
      </c>
      <c r="B281" s="5" t="s">
        <v>231</v>
      </c>
      <c r="C281" s="7">
        <v>0</v>
      </c>
      <c r="D281" s="7">
        <v>0</v>
      </c>
      <c r="E281" s="7" t="s">
        <v>214</v>
      </c>
      <c r="F281" s="7" t="s">
        <v>234</v>
      </c>
    </row>
    <row r="282" spans="1:7" x14ac:dyDescent="0.25">
      <c r="A282" s="5">
        <v>3</v>
      </c>
      <c r="B282" s="5" t="s">
        <v>232</v>
      </c>
      <c r="C282" s="7">
        <v>0</v>
      </c>
      <c r="D282" s="7">
        <v>0</v>
      </c>
      <c r="E282" s="7" t="s">
        <v>214</v>
      </c>
      <c r="F282" s="7" t="s">
        <v>234</v>
      </c>
    </row>
    <row r="283" spans="1:7" x14ac:dyDescent="0.25">
      <c r="A283" s="5">
        <v>3</v>
      </c>
      <c r="B283" s="5" t="s">
        <v>241</v>
      </c>
      <c r="C283" s="7">
        <v>0</v>
      </c>
      <c r="D283" s="7">
        <v>0</v>
      </c>
      <c r="E283" s="7" t="s">
        <v>214</v>
      </c>
      <c r="F283" s="7" t="s">
        <v>234</v>
      </c>
    </row>
    <row r="284" spans="1:7" x14ac:dyDescent="0.25">
      <c r="A284" s="5">
        <v>4</v>
      </c>
      <c r="B284" s="5" t="s">
        <v>230</v>
      </c>
      <c r="C284" s="7">
        <v>13333.6</v>
      </c>
      <c r="D284" s="7">
        <v>12294.26</v>
      </c>
      <c r="E284" s="7" t="s">
        <v>214</v>
      </c>
      <c r="F284" s="7" t="s">
        <v>233</v>
      </c>
    </row>
    <row r="285" spans="1:7" x14ac:dyDescent="0.25">
      <c r="A285" s="5">
        <v>4</v>
      </c>
      <c r="B285" s="5" t="s">
        <v>231</v>
      </c>
      <c r="C285" s="7">
        <v>0</v>
      </c>
      <c r="D285" s="7">
        <v>0</v>
      </c>
      <c r="E285" s="7" t="s">
        <v>214</v>
      </c>
      <c r="F285" s="7" t="s">
        <v>234</v>
      </c>
    </row>
    <row r="286" spans="1:7" x14ac:dyDescent="0.25">
      <c r="A286" s="5">
        <v>4</v>
      </c>
      <c r="B286" s="5" t="s">
        <v>232</v>
      </c>
      <c r="C286" s="7">
        <v>0</v>
      </c>
      <c r="D286" s="7">
        <v>0</v>
      </c>
      <c r="E286" s="7" t="s">
        <v>214</v>
      </c>
      <c r="F286" s="7" t="s">
        <v>234</v>
      </c>
    </row>
    <row r="287" spans="1:7" x14ac:dyDescent="0.25">
      <c r="A287" s="5">
        <v>4</v>
      </c>
      <c r="B287" s="5" t="s">
        <v>241</v>
      </c>
      <c r="C287" s="7">
        <v>0</v>
      </c>
      <c r="D287" s="7">
        <v>0</v>
      </c>
      <c r="E287" s="7" t="s">
        <v>214</v>
      </c>
      <c r="F287" s="7" t="s">
        <v>234</v>
      </c>
    </row>
    <row r="288" spans="1:7" x14ac:dyDescent="0.25">
      <c r="A288" s="5">
        <v>5</v>
      </c>
      <c r="B288" s="5" t="s">
        <v>230</v>
      </c>
      <c r="C288" s="7">
        <v>22666.799999999999</v>
      </c>
      <c r="D288" s="7">
        <v>20070.86</v>
      </c>
      <c r="E288" s="7" t="s">
        <v>214</v>
      </c>
      <c r="F288" s="7" t="s">
        <v>233</v>
      </c>
      <c r="G288" s="8"/>
    </row>
    <row r="289" spans="1:7" x14ac:dyDescent="0.25">
      <c r="A289" s="5">
        <v>5</v>
      </c>
      <c r="B289" s="5" t="s">
        <v>231</v>
      </c>
      <c r="C289" s="7">
        <v>0</v>
      </c>
      <c r="D289" s="7">
        <v>0</v>
      </c>
      <c r="E289" s="7" t="s">
        <v>214</v>
      </c>
      <c r="F289" s="7" t="s">
        <v>234</v>
      </c>
      <c r="G289" s="8"/>
    </row>
    <row r="290" spans="1:7" x14ac:dyDescent="0.25">
      <c r="A290" s="5">
        <v>5</v>
      </c>
      <c r="B290" s="5" t="s">
        <v>232</v>
      </c>
      <c r="C290" s="7">
        <v>0</v>
      </c>
      <c r="D290" s="7">
        <v>0</v>
      </c>
      <c r="E290" s="7" t="s">
        <v>214</v>
      </c>
      <c r="F290" s="7" t="s">
        <v>234</v>
      </c>
      <c r="G290" s="8"/>
    </row>
    <row r="291" spans="1:7" x14ac:dyDescent="0.25">
      <c r="A291" s="5">
        <v>5</v>
      </c>
      <c r="B291" s="5" t="s">
        <v>241</v>
      </c>
      <c r="C291" s="7">
        <v>0</v>
      </c>
      <c r="D291" s="7">
        <v>0</v>
      </c>
      <c r="E291" s="7" t="s">
        <v>214</v>
      </c>
      <c r="F291" s="7" t="s">
        <v>234</v>
      </c>
      <c r="G291" s="8"/>
    </row>
    <row r="292" spans="1:7" x14ac:dyDescent="0.25">
      <c r="A292" s="5">
        <v>6</v>
      </c>
      <c r="B292" s="5" t="s">
        <v>230</v>
      </c>
      <c r="C292" s="7">
        <v>13333.6</v>
      </c>
      <c r="D292" s="7">
        <v>12413.5</v>
      </c>
      <c r="E292" s="7" t="s">
        <v>214</v>
      </c>
      <c r="F292" s="7" t="s">
        <v>233</v>
      </c>
      <c r="G292" s="8"/>
    </row>
    <row r="293" spans="1:7" x14ac:dyDescent="0.25">
      <c r="A293" s="5">
        <v>6</v>
      </c>
      <c r="B293" s="5" t="s">
        <v>231</v>
      </c>
      <c r="C293" s="7">
        <v>0</v>
      </c>
      <c r="D293" s="7">
        <v>0</v>
      </c>
      <c r="E293" s="7" t="s">
        <v>214</v>
      </c>
      <c r="F293" s="7" t="s">
        <v>234</v>
      </c>
      <c r="G293" s="8"/>
    </row>
    <row r="294" spans="1:7" x14ac:dyDescent="0.25">
      <c r="A294" s="5">
        <v>6</v>
      </c>
      <c r="B294" s="5" t="s">
        <v>232</v>
      </c>
      <c r="C294" s="7">
        <v>0</v>
      </c>
      <c r="D294" s="7">
        <v>0</v>
      </c>
      <c r="E294" s="7" t="s">
        <v>214</v>
      </c>
      <c r="F294" s="7" t="s">
        <v>234</v>
      </c>
      <c r="G294" s="8"/>
    </row>
    <row r="295" spans="1:7" x14ac:dyDescent="0.25">
      <c r="A295" s="5">
        <v>6</v>
      </c>
      <c r="B295" s="5" t="s">
        <v>241</v>
      </c>
      <c r="C295" s="7">
        <v>0</v>
      </c>
      <c r="D295" s="7">
        <v>0</v>
      </c>
      <c r="E295" s="7" t="s">
        <v>214</v>
      </c>
      <c r="F295" s="7" t="s">
        <v>234</v>
      </c>
    </row>
    <row r="296" spans="1:7" x14ac:dyDescent="0.25">
      <c r="A296" s="5">
        <v>7</v>
      </c>
      <c r="B296" s="5" t="s">
        <v>230</v>
      </c>
      <c r="C296" s="7">
        <v>10818</v>
      </c>
      <c r="D296" s="7">
        <v>9904.08</v>
      </c>
      <c r="E296" s="7" t="s">
        <v>214</v>
      </c>
      <c r="F296" s="7" t="s">
        <v>233</v>
      </c>
    </row>
    <row r="297" spans="1:7" x14ac:dyDescent="0.25">
      <c r="A297" s="5">
        <v>7</v>
      </c>
      <c r="B297" s="5" t="s">
        <v>231</v>
      </c>
      <c r="C297" s="7">
        <v>0</v>
      </c>
      <c r="D297" s="7">
        <v>0</v>
      </c>
      <c r="E297" s="7" t="s">
        <v>214</v>
      </c>
      <c r="F297" s="7" t="s">
        <v>234</v>
      </c>
    </row>
    <row r="298" spans="1:7" x14ac:dyDescent="0.25">
      <c r="A298" s="5">
        <v>7</v>
      </c>
      <c r="B298" s="5" t="s">
        <v>232</v>
      </c>
      <c r="C298" s="7">
        <v>0</v>
      </c>
      <c r="D298" s="7">
        <v>0</v>
      </c>
      <c r="E298" s="7" t="s">
        <v>214</v>
      </c>
      <c r="F298" s="7" t="s">
        <v>234</v>
      </c>
    </row>
    <row r="299" spans="1:7" x14ac:dyDescent="0.25">
      <c r="A299" s="5">
        <v>7</v>
      </c>
      <c r="B299" s="5" t="s">
        <v>241</v>
      </c>
      <c r="C299" s="7">
        <v>0</v>
      </c>
      <c r="D299" s="7">
        <v>0</v>
      </c>
      <c r="E299" s="7" t="s">
        <v>214</v>
      </c>
      <c r="F299" s="7" t="s">
        <v>234</v>
      </c>
    </row>
    <row r="300" spans="1:7" x14ac:dyDescent="0.25">
      <c r="A300" s="5">
        <v>8</v>
      </c>
      <c r="B300" s="5" t="s">
        <v>230</v>
      </c>
      <c r="C300" s="7">
        <v>11970.8</v>
      </c>
      <c r="D300" s="7">
        <v>10931.46</v>
      </c>
      <c r="E300" s="7" t="s">
        <v>214</v>
      </c>
      <c r="F300" s="7" t="s">
        <v>233</v>
      </c>
    </row>
    <row r="301" spans="1:7" x14ac:dyDescent="0.25">
      <c r="A301" s="5">
        <v>8</v>
      </c>
      <c r="B301" s="5" t="s">
        <v>231</v>
      </c>
      <c r="C301" s="7">
        <v>0</v>
      </c>
      <c r="D301" s="7">
        <v>0</v>
      </c>
      <c r="E301" s="7" t="s">
        <v>214</v>
      </c>
      <c r="F301" s="7" t="s">
        <v>234</v>
      </c>
    </row>
    <row r="302" spans="1:7" x14ac:dyDescent="0.25">
      <c r="A302" s="5">
        <v>8</v>
      </c>
      <c r="B302" s="5" t="s">
        <v>232</v>
      </c>
      <c r="C302" s="7">
        <v>0</v>
      </c>
      <c r="D302" s="7">
        <v>0</v>
      </c>
      <c r="E302" s="7" t="s">
        <v>214</v>
      </c>
      <c r="F302" s="7" t="s">
        <v>234</v>
      </c>
    </row>
    <row r="303" spans="1:7" x14ac:dyDescent="0.25">
      <c r="A303" s="5">
        <v>8</v>
      </c>
      <c r="B303" s="5" t="s">
        <v>241</v>
      </c>
      <c r="C303" s="7">
        <v>0</v>
      </c>
      <c r="D303" s="7">
        <v>0</v>
      </c>
      <c r="E303" s="7" t="s">
        <v>214</v>
      </c>
      <c r="F303" s="7" t="s">
        <v>234</v>
      </c>
    </row>
    <row r="304" spans="1:7" x14ac:dyDescent="0.25">
      <c r="A304" s="5">
        <v>9</v>
      </c>
      <c r="B304" s="5" t="s">
        <v>230</v>
      </c>
      <c r="C304" s="7">
        <v>10818</v>
      </c>
      <c r="D304" s="7">
        <v>9904.08</v>
      </c>
      <c r="E304" s="7" t="s">
        <v>214</v>
      </c>
      <c r="F304" s="7" t="s">
        <v>233</v>
      </c>
    </row>
    <row r="305" spans="1:6" x14ac:dyDescent="0.25">
      <c r="A305" s="5">
        <v>9</v>
      </c>
      <c r="B305" s="5" t="s">
        <v>231</v>
      </c>
      <c r="C305" s="7">
        <v>0</v>
      </c>
      <c r="D305" s="7">
        <v>0</v>
      </c>
      <c r="E305" s="7" t="s">
        <v>214</v>
      </c>
      <c r="F305" s="7" t="s">
        <v>234</v>
      </c>
    </row>
    <row r="306" spans="1:6" x14ac:dyDescent="0.25">
      <c r="A306" s="5">
        <v>9</v>
      </c>
      <c r="B306" s="5" t="s">
        <v>232</v>
      </c>
      <c r="C306" s="7">
        <v>0</v>
      </c>
      <c r="D306" s="7">
        <v>0</v>
      </c>
      <c r="E306" s="7" t="s">
        <v>214</v>
      </c>
      <c r="F306" s="7" t="s">
        <v>234</v>
      </c>
    </row>
    <row r="307" spans="1:6" x14ac:dyDescent="0.25">
      <c r="A307" s="5">
        <v>9</v>
      </c>
      <c r="B307" s="5" t="s">
        <v>241</v>
      </c>
      <c r="C307" s="7">
        <v>0</v>
      </c>
      <c r="D307" s="7">
        <v>0</v>
      </c>
      <c r="E307" s="7" t="s">
        <v>214</v>
      </c>
      <c r="F307" s="7" t="s">
        <v>234</v>
      </c>
    </row>
    <row r="308" spans="1:6" x14ac:dyDescent="0.25">
      <c r="A308" s="5">
        <v>10</v>
      </c>
      <c r="B308" s="5" t="s">
        <v>230</v>
      </c>
      <c r="C308" s="7">
        <v>13333.6</v>
      </c>
      <c r="D308" s="7">
        <v>12413.5</v>
      </c>
      <c r="E308" s="7" t="s">
        <v>214</v>
      </c>
      <c r="F308" s="7" t="s">
        <v>233</v>
      </c>
    </row>
    <row r="309" spans="1:6" x14ac:dyDescent="0.25">
      <c r="A309" s="5">
        <v>10</v>
      </c>
      <c r="B309" s="5" t="s">
        <v>231</v>
      </c>
      <c r="C309" s="7">
        <v>0</v>
      </c>
      <c r="D309" s="7">
        <v>0</v>
      </c>
      <c r="E309" s="7" t="s">
        <v>214</v>
      </c>
      <c r="F309" s="7" t="s">
        <v>234</v>
      </c>
    </row>
    <row r="310" spans="1:6" x14ac:dyDescent="0.25">
      <c r="A310" s="5">
        <v>10</v>
      </c>
      <c r="B310" s="5" t="s">
        <v>232</v>
      </c>
      <c r="C310" s="7">
        <v>0</v>
      </c>
      <c r="D310" s="7">
        <v>0</v>
      </c>
      <c r="E310" s="7" t="s">
        <v>214</v>
      </c>
      <c r="F310" s="7" t="s">
        <v>234</v>
      </c>
    </row>
    <row r="311" spans="1:6" x14ac:dyDescent="0.25">
      <c r="A311" s="5">
        <v>10</v>
      </c>
      <c r="B311" s="5" t="s">
        <v>241</v>
      </c>
      <c r="C311" s="7">
        <v>0</v>
      </c>
      <c r="D311" s="7">
        <v>0</v>
      </c>
      <c r="E311" s="7" t="s">
        <v>214</v>
      </c>
      <c r="F311" s="7" t="s">
        <v>234</v>
      </c>
    </row>
    <row r="312" spans="1:6" x14ac:dyDescent="0.25">
      <c r="A312" s="5">
        <v>11</v>
      </c>
      <c r="B312" s="5" t="s">
        <v>230</v>
      </c>
      <c r="C312" s="5">
        <v>21833.62</v>
      </c>
      <c r="D312" s="5">
        <v>17500.78</v>
      </c>
      <c r="E312" s="5" t="s">
        <v>214</v>
      </c>
      <c r="F312" s="5" t="s">
        <v>233</v>
      </c>
    </row>
    <row r="313" spans="1:6" x14ac:dyDescent="0.25">
      <c r="A313" s="5">
        <v>11</v>
      </c>
      <c r="B313" s="5" t="s">
        <v>231</v>
      </c>
      <c r="C313" s="5">
        <v>107025.9</v>
      </c>
      <c r="D313" s="5">
        <v>85786.8</v>
      </c>
      <c r="E313" s="5" t="s">
        <v>214</v>
      </c>
      <c r="F313" s="5" t="s">
        <v>234</v>
      </c>
    </row>
    <row r="314" spans="1:6" x14ac:dyDescent="0.25">
      <c r="A314" s="5">
        <v>11</v>
      </c>
      <c r="B314" s="5" t="s">
        <v>232</v>
      </c>
      <c r="C314" s="5">
        <v>0</v>
      </c>
      <c r="D314" s="5">
        <v>0</v>
      </c>
      <c r="E314" s="5" t="s">
        <v>214</v>
      </c>
      <c r="F314" s="5" t="s">
        <v>234</v>
      </c>
    </row>
    <row r="315" spans="1:6" x14ac:dyDescent="0.25">
      <c r="A315" s="5">
        <v>11</v>
      </c>
      <c r="B315" s="5" t="s">
        <v>241</v>
      </c>
      <c r="C315" s="5">
        <v>2142.1</v>
      </c>
      <c r="D315" s="5">
        <v>1717</v>
      </c>
      <c r="E315" s="5" t="s">
        <v>214</v>
      </c>
      <c r="F315" s="5" t="s">
        <v>234</v>
      </c>
    </row>
    <row r="316" spans="1:6" x14ac:dyDescent="0.25">
      <c r="A316" s="5">
        <v>12</v>
      </c>
      <c r="B316" s="5" t="s">
        <v>230</v>
      </c>
      <c r="C316" s="7">
        <v>10818</v>
      </c>
      <c r="D316" s="7">
        <v>9904.08</v>
      </c>
      <c r="E316" s="7" t="s">
        <v>214</v>
      </c>
      <c r="F316" s="7" t="s">
        <v>233</v>
      </c>
    </row>
    <row r="317" spans="1:6" x14ac:dyDescent="0.25">
      <c r="A317" s="5">
        <v>12</v>
      </c>
      <c r="B317" s="5" t="s">
        <v>231</v>
      </c>
      <c r="C317" s="7">
        <v>0</v>
      </c>
      <c r="D317" s="7">
        <v>0</v>
      </c>
      <c r="E317" s="7" t="s">
        <v>214</v>
      </c>
      <c r="F317" s="7" t="s">
        <v>234</v>
      </c>
    </row>
    <row r="318" spans="1:6" x14ac:dyDescent="0.25">
      <c r="A318" s="5">
        <v>12</v>
      </c>
      <c r="B318" s="5" t="s">
        <v>232</v>
      </c>
      <c r="C318" s="7">
        <v>0</v>
      </c>
      <c r="D318" s="7">
        <v>0</v>
      </c>
      <c r="E318" s="7" t="s">
        <v>214</v>
      </c>
      <c r="F318" s="7" t="s">
        <v>234</v>
      </c>
    </row>
    <row r="319" spans="1:6" x14ac:dyDescent="0.25">
      <c r="A319" s="5">
        <v>12</v>
      </c>
      <c r="B319" s="5" t="s">
        <v>241</v>
      </c>
      <c r="C319" s="7">
        <v>0</v>
      </c>
      <c r="D319" s="7">
        <v>0</v>
      </c>
      <c r="E319" s="7" t="s">
        <v>214</v>
      </c>
      <c r="F319" s="7" t="s">
        <v>234</v>
      </c>
    </row>
    <row r="320" spans="1:6" x14ac:dyDescent="0.25">
      <c r="A320" s="5">
        <v>13</v>
      </c>
      <c r="B320" s="5" t="s">
        <v>230</v>
      </c>
      <c r="C320" s="7">
        <v>13333.6</v>
      </c>
      <c r="D320" s="7">
        <v>12294.26</v>
      </c>
      <c r="E320" s="7" t="s">
        <v>214</v>
      </c>
      <c r="F320" s="7" t="s">
        <v>233</v>
      </c>
    </row>
    <row r="321" spans="1:8" x14ac:dyDescent="0.25">
      <c r="A321" s="5">
        <v>13</v>
      </c>
      <c r="B321" s="5" t="s">
        <v>231</v>
      </c>
      <c r="C321" s="7">
        <v>0</v>
      </c>
      <c r="D321" s="7">
        <v>0</v>
      </c>
      <c r="E321" s="7" t="s">
        <v>214</v>
      </c>
      <c r="F321" s="7" t="s">
        <v>234</v>
      </c>
    </row>
    <row r="322" spans="1:8" x14ac:dyDescent="0.25">
      <c r="A322" s="5">
        <v>13</v>
      </c>
      <c r="B322" s="5" t="s">
        <v>232</v>
      </c>
      <c r="C322" s="7">
        <v>0</v>
      </c>
      <c r="D322" s="7">
        <v>0</v>
      </c>
      <c r="E322" s="7" t="s">
        <v>214</v>
      </c>
      <c r="F322" s="7" t="s">
        <v>234</v>
      </c>
    </row>
    <row r="323" spans="1:8" x14ac:dyDescent="0.25">
      <c r="A323" s="5">
        <v>13</v>
      </c>
      <c r="B323" s="5" t="s">
        <v>241</v>
      </c>
      <c r="C323" s="7">
        <v>0</v>
      </c>
      <c r="D323" s="7">
        <v>0</v>
      </c>
      <c r="E323" s="7" t="s">
        <v>214</v>
      </c>
      <c r="F323" s="7" t="s">
        <v>234</v>
      </c>
    </row>
    <row r="324" spans="1:8" x14ac:dyDescent="0.25">
      <c r="A324" s="5">
        <v>14</v>
      </c>
      <c r="B324" s="5" t="s">
        <v>230</v>
      </c>
      <c r="C324" s="7">
        <v>10818</v>
      </c>
      <c r="D324" s="7">
        <v>9904.08</v>
      </c>
      <c r="E324" s="7" t="s">
        <v>214</v>
      </c>
      <c r="F324" s="7" t="s">
        <v>233</v>
      </c>
    </row>
    <row r="325" spans="1:8" x14ac:dyDescent="0.25">
      <c r="A325" s="5">
        <v>14</v>
      </c>
      <c r="B325" s="5" t="s">
        <v>231</v>
      </c>
      <c r="C325" s="7">
        <v>0</v>
      </c>
      <c r="D325" s="7">
        <v>0</v>
      </c>
      <c r="E325" s="7" t="s">
        <v>214</v>
      </c>
      <c r="F325" s="7" t="s">
        <v>234</v>
      </c>
    </row>
    <row r="326" spans="1:8" x14ac:dyDescent="0.25">
      <c r="A326" s="5">
        <v>14</v>
      </c>
      <c r="B326" s="5" t="s">
        <v>232</v>
      </c>
      <c r="C326" s="7">
        <v>0</v>
      </c>
      <c r="D326" s="7">
        <v>0</v>
      </c>
      <c r="E326" s="7" t="s">
        <v>214</v>
      </c>
      <c r="F326" s="7" t="s">
        <v>234</v>
      </c>
      <c r="G326" s="8"/>
      <c r="H326" s="8"/>
    </row>
    <row r="327" spans="1:8" x14ac:dyDescent="0.25">
      <c r="A327" s="5">
        <v>14</v>
      </c>
      <c r="B327" s="5" t="s">
        <v>241</v>
      </c>
      <c r="C327" s="7">
        <v>0</v>
      </c>
      <c r="D327" s="7">
        <v>0</v>
      </c>
      <c r="E327" s="7" t="s">
        <v>214</v>
      </c>
      <c r="F327" s="7" t="s">
        <v>234</v>
      </c>
      <c r="G327" s="8"/>
      <c r="H327" s="8"/>
    </row>
    <row r="328" spans="1:8" x14ac:dyDescent="0.25">
      <c r="A328" s="5">
        <v>15</v>
      </c>
      <c r="B328" s="5" t="s">
        <v>230</v>
      </c>
      <c r="C328" s="7">
        <v>13333.6</v>
      </c>
      <c r="D328" s="7">
        <v>12294.26</v>
      </c>
      <c r="E328" s="7" t="s">
        <v>214</v>
      </c>
      <c r="F328" s="7" t="s">
        <v>233</v>
      </c>
      <c r="G328" s="8"/>
      <c r="H328" s="8"/>
    </row>
    <row r="329" spans="1:8" x14ac:dyDescent="0.25">
      <c r="A329" s="5">
        <v>15</v>
      </c>
      <c r="B329" s="5" t="s">
        <v>231</v>
      </c>
      <c r="C329" s="7">
        <v>0</v>
      </c>
      <c r="D329" s="7">
        <v>0</v>
      </c>
      <c r="E329" s="7" t="s">
        <v>214</v>
      </c>
      <c r="F329" s="7" t="s">
        <v>234</v>
      </c>
      <c r="G329" s="8"/>
      <c r="H329" s="8"/>
    </row>
    <row r="330" spans="1:8" x14ac:dyDescent="0.25">
      <c r="A330" s="5">
        <v>15</v>
      </c>
      <c r="B330" s="5" t="s">
        <v>232</v>
      </c>
      <c r="C330" s="7">
        <v>0</v>
      </c>
      <c r="D330" s="7">
        <v>0</v>
      </c>
      <c r="E330" s="7" t="s">
        <v>214</v>
      </c>
      <c r="F330" s="7" t="s">
        <v>234</v>
      </c>
      <c r="G330" s="8"/>
      <c r="H330" s="8"/>
    </row>
    <row r="331" spans="1:8" x14ac:dyDescent="0.25">
      <c r="A331" s="5">
        <v>15</v>
      </c>
      <c r="B331" s="5" t="s">
        <v>241</v>
      </c>
      <c r="C331" s="7">
        <v>0</v>
      </c>
      <c r="D331" s="7">
        <v>0</v>
      </c>
      <c r="E331" s="7" t="s">
        <v>214</v>
      </c>
      <c r="F331" s="7" t="s">
        <v>234</v>
      </c>
      <c r="G331" s="8"/>
      <c r="H331" s="8"/>
    </row>
    <row r="332" spans="1:8" x14ac:dyDescent="0.25">
      <c r="A332" s="5">
        <v>16</v>
      </c>
      <c r="B332" s="5" t="s">
        <v>230</v>
      </c>
      <c r="C332" s="7">
        <v>16000</v>
      </c>
      <c r="D332" s="7">
        <v>14857.54</v>
      </c>
      <c r="E332" s="7" t="s">
        <v>214</v>
      </c>
      <c r="F332" s="7" t="s">
        <v>233</v>
      </c>
      <c r="G332" s="8"/>
      <c r="H332" s="8"/>
    </row>
    <row r="333" spans="1:8" x14ac:dyDescent="0.25">
      <c r="A333" s="5">
        <v>16</v>
      </c>
      <c r="B333" s="5" t="s">
        <v>231</v>
      </c>
      <c r="C333" s="7">
        <v>0</v>
      </c>
      <c r="D333" s="7">
        <v>0</v>
      </c>
      <c r="E333" s="7" t="s">
        <v>214</v>
      </c>
      <c r="F333" s="7" t="s">
        <v>234</v>
      </c>
      <c r="G333" s="8"/>
      <c r="H333" s="8"/>
    </row>
    <row r="334" spans="1:8" x14ac:dyDescent="0.25">
      <c r="A334" s="5">
        <v>16</v>
      </c>
      <c r="B334" s="5" t="s">
        <v>232</v>
      </c>
      <c r="C334" s="7">
        <v>0</v>
      </c>
      <c r="D334" s="7">
        <v>0</v>
      </c>
      <c r="E334" s="7" t="s">
        <v>214</v>
      </c>
      <c r="F334" s="7" t="s">
        <v>234</v>
      </c>
      <c r="G334" s="8"/>
      <c r="H334" s="8"/>
    </row>
    <row r="335" spans="1:8" x14ac:dyDescent="0.25">
      <c r="A335" s="5">
        <v>16</v>
      </c>
      <c r="B335" s="5" t="s">
        <v>241</v>
      </c>
      <c r="C335" s="7">
        <v>0</v>
      </c>
      <c r="D335" s="7">
        <v>0</v>
      </c>
      <c r="E335" s="7" t="s">
        <v>214</v>
      </c>
      <c r="F335" s="7" t="s">
        <v>234</v>
      </c>
      <c r="G335" s="8"/>
      <c r="H335" s="8"/>
    </row>
    <row r="336" spans="1:8" x14ac:dyDescent="0.25">
      <c r="A336" s="5">
        <v>17</v>
      </c>
      <c r="B336" s="5" t="s">
        <v>230</v>
      </c>
      <c r="C336" s="5">
        <v>3146.15</v>
      </c>
      <c r="D336" s="5">
        <v>3049.6</v>
      </c>
      <c r="E336" s="5" t="s">
        <v>214</v>
      </c>
      <c r="F336" s="5" t="s">
        <v>233</v>
      </c>
      <c r="G336" s="8"/>
      <c r="H336" s="8"/>
    </row>
    <row r="337" spans="1:8" x14ac:dyDescent="0.25">
      <c r="A337" s="5">
        <v>17</v>
      </c>
      <c r="B337" s="5" t="s">
        <v>231</v>
      </c>
      <c r="C337" s="5">
        <v>0</v>
      </c>
      <c r="D337" s="5">
        <v>0</v>
      </c>
      <c r="E337" s="5" t="s">
        <v>214</v>
      </c>
      <c r="F337" s="5" t="s">
        <v>234</v>
      </c>
      <c r="G337" s="8"/>
      <c r="H337" s="8"/>
    </row>
    <row r="338" spans="1:8" x14ac:dyDescent="0.25">
      <c r="A338" s="5">
        <v>17</v>
      </c>
      <c r="B338" s="5" t="s">
        <v>232</v>
      </c>
      <c r="C338" s="5">
        <v>0</v>
      </c>
      <c r="D338" s="5">
        <v>0</v>
      </c>
      <c r="E338" s="5" t="s">
        <v>214</v>
      </c>
      <c r="F338" s="5" t="s">
        <v>234</v>
      </c>
      <c r="G338" s="8"/>
      <c r="H338" s="8"/>
    </row>
    <row r="339" spans="1:8" x14ac:dyDescent="0.25">
      <c r="A339" s="5">
        <v>17</v>
      </c>
      <c r="B339" s="5" t="s">
        <v>241</v>
      </c>
      <c r="C339" s="5">
        <v>1573.08</v>
      </c>
      <c r="D339" s="5">
        <v>1524.81</v>
      </c>
      <c r="E339" s="5" t="s">
        <v>214</v>
      </c>
      <c r="F339" s="5" t="s">
        <v>234</v>
      </c>
      <c r="G339" s="8"/>
      <c r="H339" s="8"/>
    </row>
    <row r="340" spans="1:8" x14ac:dyDescent="0.25">
      <c r="A340" s="5">
        <v>18</v>
      </c>
      <c r="B340" s="5" t="s">
        <v>230</v>
      </c>
      <c r="C340" s="7">
        <v>45323.6</v>
      </c>
      <c r="D340" s="7">
        <v>35232.199999999997</v>
      </c>
      <c r="E340" s="7" t="s">
        <v>214</v>
      </c>
      <c r="F340" s="7" t="s">
        <v>233</v>
      </c>
      <c r="G340" s="8"/>
      <c r="H340" s="8"/>
    </row>
    <row r="341" spans="1:8" x14ac:dyDescent="0.25">
      <c r="A341" s="5">
        <v>18</v>
      </c>
      <c r="B341" s="5" t="s">
        <v>231</v>
      </c>
      <c r="C341" s="7">
        <v>0</v>
      </c>
      <c r="D341" s="7">
        <v>0</v>
      </c>
      <c r="E341" s="7" t="s">
        <v>214</v>
      </c>
      <c r="F341" s="7" t="s">
        <v>234</v>
      </c>
      <c r="G341" s="8"/>
      <c r="H341" s="8"/>
    </row>
    <row r="342" spans="1:8" x14ac:dyDescent="0.25">
      <c r="A342" s="5">
        <v>18</v>
      </c>
      <c r="B342" s="5" t="s">
        <v>232</v>
      </c>
      <c r="C342" s="7">
        <v>0</v>
      </c>
      <c r="D342" s="7">
        <v>0</v>
      </c>
      <c r="E342" s="7" t="s">
        <v>214</v>
      </c>
      <c r="F342" s="7" t="s">
        <v>234</v>
      </c>
      <c r="G342" s="8"/>
      <c r="H342" s="8"/>
    </row>
    <row r="343" spans="1:8" x14ac:dyDescent="0.25">
      <c r="A343" s="5">
        <v>18</v>
      </c>
      <c r="B343" s="5" t="s">
        <v>241</v>
      </c>
      <c r="C343" s="7">
        <v>0</v>
      </c>
      <c r="D343" s="7">
        <v>0</v>
      </c>
      <c r="E343" s="7" t="s">
        <v>214</v>
      </c>
      <c r="F343" s="7" t="s">
        <v>234</v>
      </c>
      <c r="G343" s="8"/>
      <c r="H343" s="8"/>
    </row>
    <row r="344" spans="1:8" x14ac:dyDescent="0.25">
      <c r="A344" s="5">
        <v>19</v>
      </c>
      <c r="B344" s="5" t="s">
        <v>230</v>
      </c>
      <c r="C344" s="7">
        <v>10532.17</v>
      </c>
      <c r="D344" s="7">
        <v>9649.35</v>
      </c>
      <c r="E344" s="7" t="s">
        <v>214</v>
      </c>
      <c r="F344" s="7" t="s">
        <v>233</v>
      </c>
      <c r="G344" s="8"/>
      <c r="H344" s="8"/>
    </row>
    <row r="345" spans="1:8" x14ac:dyDescent="0.25">
      <c r="A345" s="5">
        <v>19</v>
      </c>
      <c r="B345" s="5" t="s">
        <v>231</v>
      </c>
      <c r="C345" s="7">
        <v>0</v>
      </c>
      <c r="D345" s="7">
        <v>0</v>
      </c>
      <c r="E345" s="7" t="s">
        <v>214</v>
      </c>
      <c r="F345" s="7" t="s">
        <v>234</v>
      </c>
    </row>
    <row r="346" spans="1:8" x14ac:dyDescent="0.25">
      <c r="A346" s="5">
        <v>19</v>
      </c>
      <c r="B346" s="5" t="s">
        <v>232</v>
      </c>
      <c r="C346" s="7">
        <v>0</v>
      </c>
      <c r="D346" s="7">
        <v>0</v>
      </c>
      <c r="E346" s="7" t="s">
        <v>214</v>
      </c>
      <c r="F346" s="7" t="s">
        <v>234</v>
      </c>
    </row>
    <row r="347" spans="1:8" x14ac:dyDescent="0.25">
      <c r="A347" s="5">
        <v>19</v>
      </c>
      <c r="B347" s="5" t="s">
        <v>241</v>
      </c>
      <c r="C347" s="7">
        <v>0</v>
      </c>
      <c r="D347" s="7">
        <v>0</v>
      </c>
      <c r="E347" s="7" t="s">
        <v>214</v>
      </c>
      <c r="F347" s="7" t="s">
        <v>234</v>
      </c>
    </row>
    <row r="348" spans="1:8" x14ac:dyDescent="0.25">
      <c r="A348" s="5">
        <v>20</v>
      </c>
      <c r="B348" s="5" t="s">
        <v>230</v>
      </c>
      <c r="C348" s="7">
        <v>13333.6</v>
      </c>
      <c r="D348" s="7">
        <v>12413.5</v>
      </c>
      <c r="E348" s="7" t="s">
        <v>214</v>
      </c>
      <c r="F348" s="7" t="s">
        <v>233</v>
      </c>
    </row>
    <row r="349" spans="1:8" x14ac:dyDescent="0.25">
      <c r="A349" s="5">
        <v>20</v>
      </c>
      <c r="B349" s="5" t="s">
        <v>231</v>
      </c>
      <c r="C349" s="7">
        <v>0</v>
      </c>
      <c r="D349" s="7">
        <v>0</v>
      </c>
      <c r="E349" s="7" t="s">
        <v>214</v>
      </c>
      <c r="F349" s="7" t="s">
        <v>234</v>
      </c>
    </row>
    <row r="350" spans="1:8" x14ac:dyDescent="0.25">
      <c r="A350" s="5">
        <v>20</v>
      </c>
      <c r="B350" s="5" t="s">
        <v>232</v>
      </c>
      <c r="C350" s="7">
        <v>0</v>
      </c>
      <c r="D350" s="7">
        <v>0</v>
      </c>
      <c r="E350" s="7" t="s">
        <v>214</v>
      </c>
      <c r="F350" s="7" t="s">
        <v>234</v>
      </c>
    </row>
    <row r="351" spans="1:8" x14ac:dyDescent="0.25">
      <c r="A351" s="5">
        <v>20</v>
      </c>
      <c r="B351" s="5" t="s">
        <v>241</v>
      </c>
      <c r="C351" s="7">
        <v>0</v>
      </c>
      <c r="D351" s="7">
        <v>0</v>
      </c>
      <c r="E351" s="7" t="s">
        <v>214</v>
      </c>
      <c r="F351" s="7" t="s">
        <v>234</v>
      </c>
    </row>
    <row r="352" spans="1:8" x14ac:dyDescent="0.25">
      <c r="A352" s="5">
        <v>21</v>
      </c>
      <c r="B352" s="5" t="s">
        <v>230</v>
      </c>
      <c r="C352" s="7">
        <v>14366</v>
      </c>
      <c r="D352" s="7">
        <v>12410.11</v>
      </c>
      <c r="E352" s="7" t="s">
        <v>214</v>
      </c>
      <c r="F352" s="7" t="s">
        <v>233</v>
      </c>
    </row>
    <row r="353" spans="1:8" x14ac:dyDescent="0.25">
      <c r="A353" s="5">
        <v>21</v>
      </c>
      <c r="B353" s="5" t="s">
        <v>231</v>
      </c>
      <c r="C353" s="7">
        <v>0</v>
      </c>
      <c r="D353" s="7">
        <v>0</v>
      </c>
      <c r="E353" s="7" t="s">
        <v>214</v>
      </c>
      <c r="F353" s="7" t="s">
        <v>234</v>
      </c>
    </row>
    <row r="354" spans="1:8" x14ac:dyDescent="0.25">
      <c r="A354" s="5">
        <v>21</v>
      </c>
      <c r="B354" s="5" t="s">
        <v>232</v>
      </c>
      <c r="C354" s="7">
        <v>0</v>
      </c>
      <c r="D354" s="7">
        <v>0</v>
      </c>
      <c r="E354" s="7" t="s">
        <v>214</v>
      </c>
      <c r="F354" s="7" t="s">
        <v>234</v>
      </c>
      <c r="G354" s="8"/>
      <c r="H354" s="8"/>
    </row>
    <row r="355" spans="1:8" x14ac:dyDescent="0.25">
      <c r="A355" s="5">
        <v>21</v>
      </c>
      <c r="B355" s="5" t="s">
        <v>241</v>
      </c>
      <c r="C355" s="7">
        <v>0</v>
      </c>
      <c r="D355" s="7">
        <v>0</v>
      </c>
      <c r="E355" s="7" t="s">
        <v>214</v>
      </c>
      <c r="F355" s="7" t="s">
        <v>234</v>
      </c>
      <c r="G355" s="8"/>
      <c r="H355" s="8"/>
    </row>
    <row r="356" spans="1:8" x14ac:dyDescent="0.25">
      <c r="A356" s="5">
        <v>22</v>
      </c>
      <c r="B356" s="5" t="s">
        <v>230</v>
      </c>
      <c r="C356" s="7">
        <v>13333.6</v>
      </c>
      <c r="D356" s="7">
        <v>12413.5</v>
      </c>
      <c r="E356" s="7" t="s">
        <v>214</v>
      </c>
      <c r="F356" s="7" t="s">
        <v>233</v>
      </c>
      <c r="G356" s="8"/>
      <c r="H356" s="8"/>
    </row>
    <row r="357" spans="1:8" x14ac:dyDescent="0.25">
      <c r="A357" s="5">
        <v>22</v>
      </c>
      <c r="B357" s="5" t="s">
        <v>231</v>
      </c>
      <c r="C357" s="7">
        <v>0</v>
      </c>
      <c r="D357" s="7">
        <v>0</v>
      </c>
      <c r="E357" s="7" t="s">
        <v>214</v>
      </c>
      <c r="F357" s="7" t="s">
        <v>234</v>
      </c>
      <c r="G357" s="8"/>
      <c r="H357" s="8"/>
    </row>
    <row r="358" spans="1:8" x14ac:dyDescent="0.25">
      <c r="A358" s="5">
        <v>22</v>
      </c>
      <c r="B358" s="5" t="s">
        <v>232</v>
      </c>
      <c r="C358" s="7">
        <v>0</v>
      </c>
      <c r="D358" s="7">
        <v>0</v>
      </c>
      <c r="E358" s="7" t="s">
        <v>214</v>
      </c>
      <c r="F358" s="7" t="s">
        <v>234</v>
      </c>
      <c r="G358" s="8"/>
      <c r="H358" s="8"/>
    </row>
    <row r="359" spans="1:8" x14ac:dyDescent="0.25">
      <c r="A359" s="5">
        <v>22</v>
      </c>
      <c r="B359" s="5" t="s">
        <v>241</v>
      </c>
      <c r="C359" s="7">
        <v>0</v>
      </c>
      <c r="D359" s="7">
        <v>0</v>
      </c>
      <c r="E359" s="7" t="s">
        <v>214</v>
      </c>
      <c r="F359" s="7" t="s">
        <v>234</v>
      </c>
      <c r="G359" s="8"/>
      <c r="H359" s="8"/>
    </row>
    <row r="360" spans="1:8" x14ac:dyDescent="0.25">
      <c r="A360" s="5">
        <v>23</v>
      </c>
      <c r="B360" s="5" t="s">
        <v>230</v>
      </c>
      <c r="C360" s="5">
        <v>10776.92</v>
      </c>
      <c r="D360" s="5">
        <v>10031.56</v>
      </c>
      <c r="E360" s="5" t="s">
        <v>214</v>
      </c>
      <c r="F360" s="5" t="s">
        <v>233</v>
      </c>
      <c r="G360" s="8"/>
      <c r="H360" s="8"/>
    </row>
    <row r="361" spans="1:8" x14ac:dyDescent="0.25">
      <c r="A361" s="5">
        <v>23</v>
      </c>
      <c r="B361" s="5" t="s">
        <v>231</v>
      </c>
      <c r="C361" s="5">
        <v>0</v>
      </c>
      <c r="D361" s="5">
        <v>0</v>
      </c>
      <c r="E361" s="5" t="s">
        <v>214</v>
      </c>
      <c r="F361" s="5" t="s">
        <v>234</v>
      </c>
      <c r="G361" s="8"/>
      <c r="H361" s="8"/>
    </row>
    <row r="362" spans="1:8" x14ac:dyDescent="0.25">
      <c r="A362" s="5">
        <v>23</v>
      </c>
      <c r="B362" s="5" t="s">
        <v>232</v>
      </c>
      <c r="C362" s="5">
        <v>0</v>
      </c>
      <c r="D362" s="5">
        <v>0</v>
      </c>
      <c r="E362" s="5" t="s">
        <v>214</v>
      </c>
      <c r="F362" s="5" t="s">
        <v>234</v>
      </c>
      <c r="G362" s="8"/>
      <c r="H362" s="8"/>
    </row>
    <row r="363" spans="1:8" x14ac:dyDescent="0.25">
      <c r="A363" s="5">
        <v>23</v>
      </c>
      <c r="B363" s="5" t="s">
        <v>241</v>
      </c>
      <c r="C363" s="5">
        <v>1052.99</v>
      </c>
      <c r="D363" s="5">
        <v>980.16</v>
      </c>
      <c r="E363" s="5" t="s">
        <v>214</v>
      </c>
      <c r="F363" s="5" t="s">
        <v>234</v>
      </c>
      <c r="G363" s="8"/>
      <c r="H363" s="8"/>
    </row>
    <row r="364" spans="1:8" x14ac:dyDescent="0.25">
      <c r="A364" s="5">
        <v>24</v>
      </c>
      <c r="B364" s="5" t="s">
        <v>230</v>
      </c>
      <c r="C364" s="7">
        <v>45323.6</v>
      </c>
      <c r="D364" s="7">
        <v>35232.199999999997</v>
      </c>
      <c r="E364" s="7" t="s">
        <v>214</v>
      </c>
      <c r="F364" s="7" t="s">
        <v>233</v>
      </c>
      <c r="G364" s="8"/>
      <c r="H364" s="8"/>
    </row>
    <row r="365" spans="1:8" x14ac:dyDescent="0.25">
      <c r="A365" s="5">
        <v>24</v>
      </c>
      <c r="B365" s="5" t="s">
        <v>231</v>
      </c>
      <c r="C365" s="7">
        <v>0</v>
      </c>
      <c r="D365" s="7">
        <v>0</v>
      </c>
      <c r="E365" s="7" t="s">
        <v>214</v>
      </c>
      <c r="F365" s="7" t="s">
        <v>234</v>
      </c>
      <c r="G365" s="8"/>
      <c r="H365" s="8"/>
    </row>
    <row r="366" spans="1:8" x14ac:dyDescent="0.25">
      <c r="A366" s="5">
        <v>24</v>
      </c>
      <c r="B366" s="5" t="s">
        <v>232</v>
      </c>
      <c r="C366" s="7">
        <v>0</v>
      </c>
      <c r="D366" s="7">
        <v>0</v>
      </c>
      <c r="E366" s="7" t="s">
        <v>214</v>
      </c>
      <c r="F366" s="7" t="s">
        <v>234</v>
      </c>
      <c r="G366" s="8"/>
      <c r="H366" s="8"/>
    </row>
    <row r="367" spans="1:8" x14ac:dyDescent="0.25">
      <c r="A367" s="5">
        <v>24</v>
      </c>
      <c r="B367" s="5" t="s">
        <v>241</v>
      </c>
      <c r="C367" s="7">
        <v>0</v>
      </c>
      <c r="D367" s="7">
        <v>0</v>
      </c>
      <c r="E367" s="7" t="s">
        <v>214</v>
      </c>
      <c r="F367" s="7" t="s">
        <v>234</v>
      </c>
    </row>
    <row r="368" spans="1:8" x14ac:dyDescent="0.25">
      <c r="A368" s="5">
        <v>25</v>
      </c>
      <c r="B368" s="5" t="s">
        <v>230</v>
      </c>
      <c r="C368" s="7">
        <v>11640</v>
      </c>
      <c r="D368" s="7">
        <v>10636.65</v>
      </c>
      <c r="E368" s="7" t="s">
        <v>214</v>
      </c>
      <c r="F368" s="7" t="s">
        <v>233</v>
      </c>
    </row>
    <row r="369" spans="1:6" x14ac:dyDescent="0.25">
      <c r="A369" s="5">
        <v>25</v>
      </c>
      <c r="B369" s="5" t="s">
        <v>231</v>
      </c>
      <c r="C369" s="7">
        <v>0</v>
      </c>
      <c r="D369" s="7">
        <v>0</v>
      </c>
      <c r="E369" s="7" t="s">
        <v>214</v>
      </c>
      <c r="F369" s="7" t="s">
        <v>234</v>
      </c>
    </row>
    <row r="370" spans="1:6" x14ac:dyDescent="0.25">
      <c r="A370" s="5">
        <v>25</v>
      </c>
      <c r="B370" s="5" t="s">
        <v>232</v>
      </c>
      <c r="C370" s="7">
        <v>0</v>
      </c>
      <c r="D370" s="7">
        <v>0</v>
      </c>
      <c r="E370" s="7" t="s">
        <v>214</v>
      </c>
      <c r="F370" s="7" t="s">
        <v>234</v>
      </c>
    </row>
    <row r="371" spans="1:6" x14ac:dyDescent="0.25">
      <c r="A371" s="5">
        <v>25</v>
      </c>
      <c r="B371" s="5" t="s">
        <v>241</v>
      </c>
      <c r="C371" s="7">
        <v>0</v>
      </c>
      <c r="D371" s="7">
        <v>0</v>
      </c>
      <c r="E371" s="7" t="s">
        <v>214</v>
      </c>
      <c r="F371" s="7" t="s">
        <v>234</v>
      </c>
    </row>
    <row r="372" spans="1:6" x14ac:dyDescent="0.25">
      <c r="A372" s="5">
        <v>26</v>
      </c>
      <c r="B372" s="5" t="s">
        <v>230</v>
      </c>
      <c r="C372" s="7">
        <v>16000</v>
      </c>
      <c r="D372" s="7">
        <v>14044.11</v>
      </c>
      <c r="E372" s="7" t="s">
        <v>214</v>
      </c>
      <c r="F372" s="7" t="s">
        <v>233</v>
      </c>
    </row>
    <row r="373" spans="1:6" x14ac:dyDescent="0.25">
      <c r="A373" s="5">
        <v>26</v>
      </c>
      <c r="B373" s="5" t="s">
        <v>231</v>
      </c>
      <c r="C373" s="7">
        <v>0</v>
      </c>
      <c r="D373" s="7">
        <v>0</v>
      </c>
      <c r="E373" s="7" t="s">
        <v>214</v>
      </c>
      <c r="F373" s="7" t="s">
        <v>234</v>
      </c>
    </row>
    <row r="374" spans="1:6" x14ac:dyDescent="0.25">
      <c r="A374" s="5">
        <v>26</v>
      </c>
      <c r="B374" s="5" t="s">
        <v>232</v>
      </c>
      <c r="C374" s="7">
        <v>0</v>
      </c>
      <c r="D374" s="7">
        <v>0</v>
      </c>
      <c r="E374" s="7" t="s">
        <v>214</v>
      </c>
      <c r="F374" s="7" t="s">
        <v>234</v>
      </c>
    </row>
    <row r="375" spans="1:6" x14ac:dyDescent="0.25">
      <c r="A375" s="5">
        <v>26</v>
      </c>
      <c r="B375" s="5" t="s">
        <v>241</v>
      </c>
      <c r="C375" s="7">
        <v>0</v>
      </c>
      <c r="D375" s="7">
        <v>0</v>
      </c>
      <c r="E375" s="7" t="s">
        <v>214</v>
      </c>
      <c r="F375" s="7" t="s">
        <v>234</v>
      </c>
    </row>
    <row r="376" spans="1:6" x14ac:dyDescent="0.25">
      <c r="A376" s="5">
        <v>27</v>
      </c>
      <c r="B376" s="5" t="s">
        <v>230</v>
      </c>
      <c r="C376" s="7">
        <v>36595.599999999999</v>
      </c>
      <c r="D376" s="7">
        <v>28560.45</v>
      </c>
      <c r="E376" s="7" t="s">
        <v>214</v>
      </c>
      <c r="F376" s="7" t="s">
        <v>233</v>
      </c>
    </row>
    <row r="377" spans="1:6" x14ac:dyDescent="0.25">
      <c r="A377" s="5">
        <v>27</v>
      </c>
      <c r="B377" s="5" t="s">
        <v>231</v>
      </c>
      <c r="C377" s="7">
        <v>0</v>
      </c>
      <c r="D377" s="7">
        <v>0</v>
      </c>
      <c r="E377" s="7" t="s">
        <v>214</v>
      </c>
      <c r="F377" s="7" t="s">
        <v>234</v>
      </c>
    </row>
    <row r="378" spans="1:6" x14ac:dyDescent="0.25">
      <c r="A378" s="5">
        <v>27</v>
      </c>
      <c r="B378" s="5" t="s">
        <v>232</v>
      </c>
      <c r="C378" s="7">
        <v>0</v>
      </c>
      <c r="D378" s="7">
        <v>0</v>
      </c>
      <c r="E378" s="7" t="s">
        <v>214</v>
      </c>
      <c r="F378" s="7" t="s">
        <v>234</v>
      </c>
    </row>
    <row r="379" spans="1:6" x14ac:dyDescent="0.25">
      <c r="A379" s="5">
        <v>27</v>
      </c>
      <c r="B379" s="5" t="s">
        <v>241</v>
      </c>
      <c r="C379" s="7">
        <v>0</v>
      </c>
      <c r="D379" s="7">
        <v>0</v>
      </c>
      <c r="E379" s="7" t="s">
        <v>214</v>
      </c>
      <c r="F379" s="7" t="s">
        <v>234</v>
      </c>
    </row>
    <row r="380" spans="1:6" x14ac:dyDescent="0.25">
      <c r="A380" s="5">
        <v>28</v>
      </c>
      <c r="B380" s="5" t="s">
        <v>230</v>
      </c>
      <c r="C380" s="7">
        <v>10818</v>
      </c>
      <c r="D380" s="7">
        <v>9904.08</v>
      </c>
      <c r="E380" s="7" t="s">
        <v>214</v>
      </c>
      <c r="F380" s="7" t="s">
        <v>233</v>
      </c>
    </row>
    <row r="381" spans="1:6" x14ac:dyDescent="0.25">
      <c r="A381" s="5">
        <v>28</v>
      </c>
      <c r="B381" s="5" t="s">
        <v>231</v>
      </c>
      <c r="C381" s="7">
        <v>0</v>
      </c>
      <c r="D381" s="7">
        <v>0</v>
      </c>
      <c r="E381" s="7" t="s">
        <v>214</v>
      </c>
      <c r="F381" s="7" t="s">
        <v>234</v>
      </c>
    </row>
    <row r="382" spans="1:6" x14ac:dyDescent="0.25">
      <c r="A382" s="5">
        <v>28</v>
      </c>
      <c r="B382" s="5" t="s">
        <v>232</v>
      </c>
      <c r="C382" s="7">
        <v>0</v>
      </c>
      <c r="D382" s="7">
        <v>0</v>
      </c>
      <c r="E382" s="7" t="s">
        <v>214</v>
      </c>
      <c r="F382" s="7" t="s">
        <v>234</v>
      </c>
    </row>
    <row r="383" spans="1:6" x14ac:dyDescent="0.25">
      <c r="A383" s="5">
        <v>28</v>
      </c>
      <c r="B383" s="5" t="s">
        <v>241</v>
      </c>
      <c r="C383" s="7">
        <v>0</v>
      </c>
      <c r="D383" s="7">
        <v>0</v>
      </c>
      <c r="E383" s="7" t="s">
        <v>214</v>
      </c>
      <c r="F383" s="7" t="s">
        <v>234</v>
      </c>
    </row>
    <row r="384" spans="1:6" x14ac:dyDescent="0.25">
      <c r="A384" s="5">
        <v>29</v>
      </c>
      <c r="B384" s="5" t="s">
        <v>230</v>
      </c>
      <c r="C384" s="7">
        <v>11479.2</v>
      </c>
      <c r="D384" s="7">
        <v>10493.34</v>
      </c>
      <c r="E384" s="7" t="s">
        <v>214</v>
      </c>
      <c r="F384" s="7" t="s">
        <v>233</v>
      </c>
    </row>
    <row r="385" spans="1:6" x14ac:dyDescent="0.25">
      <c r="A385" s="5">
        <v>29</v>
      </c>
      <c r="B385" s="5" t="s">
        <v>231</v>
      </c>
      <c r="C385" s="7">
        <v>0</v>
      </c>
      <c r="D385" s="7">
        <v>0</v>
      </c>
      <c r="E385" s="7" t="s">
        <v>214</v>
      </c>
      <c r="F385" s="7" t="s">
        <v>234</v>
      </c>
    </row>
    <row r="386" spans="1:6" x14ac:dyDescent="0.25">
      <c r="A386" s="5">
        <v>29</v>
      </c>
      <c r="B386" s="5" t="s">
        <v>232</v>
      </c>
      <c r="C386" s="7">
        <v>0</v>
      </c>
      <c r="D386" s="7">
        <v>0</v>
      </c>
      <c r="E386" s="7" t="s">
        <v>214</v>
      </c>
      <c r="F386" s="7" t="s">
        <v>234</v>
      </c>
    </row>
    <row r="387" spans="1:6" x14ac:dyDescent="0.25">
      <c r="A387" s="5">
        <v>29</v>
      </c>
      <c r="B387" s="5" t="s">
        <v>241</v>
      </c>
      <c r="C387" s="7">
        <v>0</v>
      </c>
      <c r="D387" s="7">
        <v>0</v>
      </c>
      <c r="E387" s="7" t="s">
        <v>214</v>
      </c>
      <c r="F387" s="7" t="s">
        <v>234</v>
      </c>
    </row>
    <row r="388" spans="1:6" x14ac:dyDescent="0.25">
      <c r="A388" s="5">
        <v>30</v>
      </c>
      <c r="B388" s="5" t="s">
        <v>230</v>
      </c>
      <c r="C388" s="7">
        <v>10818</v>
      </c>
      <c r="D388" s="7">
        <v>9904.08</v>
      </c>
      <c r="E388" s="7" t="s">
        <v>214</v>
      </c>
      <c r="F388" s="7" t="s">
        <v>234</v>
      </c>
    </row>
    <row r="389" spans="1:6" x14ac:dyDescent="0.25">
      <c r="A389" s="5">
        <v>30</v>
      </c>
      <c r="B389" s="5" t="s">
        <v>231</v>
      </c>
      <c r="C389" s="7">
        <v>0</v>
      </c>
      <c r="D389" s="7">
        <v>0</v>
      </c>
      <c r="E389" s="7" t="s">
        <v>214</v>
      </c>
      <c r="F389" s="7" t="s">
        <v>234</v>
      </c>
    </row>
    <row r="390" spans="1:6" x14ac:dyDescent="0.25">
      <c r="A390" s="5">
        <v>30</v>
      </c>
      <c r="B390" s="5" t="s">
        <v>232</v>
      </c>
      <c r="C390" s="7">
        <v>0</v>
      </c>
      <c r="D390" s="7">
        <v>0</v>
      </c>
      <c r="E390" s="7" t="s">
        <v>214</v>
      </c>
      <c r="F390" s="7" t="s">
        <v>234</v>
      </c>
    </row>
    <row r="391" spans="1:6" x14ac:dyDescent="0.25">
      <c r="A391" s="5">
        <v>30</v>
      </c>
      <c r="B391" s="5" t="s">
        <v>241</v>
      </c>
      <c r="C391" s="7">
        <v>0</v>
      </c>
      <c r="D391" s="7">
        <v>0</v>
      </c>
      <c r="E391" s="7" t="s">
        <v>214</v>
      </c>
      <c r="F391" s="7" t="s">
        <v>234</v>
      </c>
    </row>
    <row r="392" spans="1:6" x14ac:dyDescent="0.25">
      <c r="A392" s="5">
        <v>31</v>
      </c>
      <c r="B392" s="5" t="s">
        <v>230</v>
      </c>
      <c r="C392" s="7">
        <v>10818</v>
      </c>
      <c r="D392" s="7">
        <v>9904.08</v>
      </c>
      <c r="E392" s="7" t="s">
        <v>214</v>
      </c>
      <c r="F392" s="7" t="s">
        <v>233</v>
      </c>
    </row>
    <row r="393" spans="1:6" x14ac:dyDescent="0.25">
      <c r="A393" s="5">
        <v>31</v>
      </c>
      <c r="B393" s="5" t="s">
        <v>231</v>
      </c>
      <c r="C393" s="7">
        <v>0</v>
      </c>
      <c r="D393" s="7">
        <v>0</v>
      </c>
      <c r="E393" s="7" t="s">
        <v>214</v>
      </c>
      <c r="F393" s="7" t="s">
        <v>234</v>
      </c>
    </row>
    <row r="394" spans="1:6" x14ac:dyDescent="0.25">
      <c r="A394" s="5">
        <v>31</v>
      </c>
      <c r="B394" s="5" t="s">
        <v>232</v>
      </c>
      <c r="C394" s="7">
        <v>0</v>
      </c>
      <c r="D394" s="7">
        <v>0</v>
      </c>
      <c r="E394" s="7" t="s">
        <v>214</v>
      </c>
      <c r="F394" s="7" t="s">
        <v>234</v>
      </c>
    </row>
    <row r="395" spans="1:6" x14ac:dyDescent="0.25">
      <c r="A395" s="5">
        <v>31</v>
      </c>
      <c r="B395" s="5" t="s">
        <v>241</v>
      </c>
      <c r="C395" s="7">
        <v>0</v>
      </c>
      <c r="D395" s="7">
        <v>0</v>
      </c>
      <c r="E395" s="7" t="s">
        <v>214</v>
      </c>
      <c r="F395" s="7" t="s">
        <v>234</v>
      </c>
    </row>
    <row r="396" spans="1:6" x14ac:dyDescent="0.25">
      <c r="A396" s="5">
        <v>32</v>
      </c>
      <c r="B396" s="5" t="s">
        <v>230</v>
      </c>
      <c r="C396" s="7">
        <v>10818</v>
      </c>
      <c r="D396" s="7">
        <v>9904.08</v>
      </c>
      <c r="E396" s="7" t="s">
        <v>214</v>
      </c>
      <c r="F396" s="7" t="s">
        <v>233</v>
      </c>
    </row>
    <row r="397" spans="1:6" x14ac:dyDescent="0.25">
      <c r="A397" s="5">
        <v>32</v>
      </c>
      <c r="B397" s="5" t="s">
        <v>231</v>
      </c>
      <c r="C397" s="7">
        <v>0</v>
      </c>
      <c r="D397" s="7">
        <v>0</v>
      </c>
      <c r="E397" s="7" t="s">
        <v>214</v>
      </c>
      <c r="F397" s="7" t="s">
        <v>234</v>
      </c>
    </row>
    <row r="398" spans="1:6" x14ac:dyDescent="0.25">
      <c r="A398" s="5">
        <v>32</v>
      </c>
      <c r="B398" s="5" t="s">
        <v>232</v>
      </c>
      <c r="C398" s="7">
        <v>0</v>
      </c>
      <c r="D398" s="7">
        <v>0</v>
      </c>
      <c r="E398" s="7" t="s">
        <v>214</v>
      </c>
      <c r="F398" s="7" t="s">
        <v>234</v>
      </c>
    </row>
    <row r="399" spans="1:6" x14ac:dyDescent="0.25">
      <c r="A399" s="5">
        <v>32</v>
      </c>
      <c r="B399" s="5" t="s">
        <v>241</v>
      </c>
      <c r="C399" s="7">
        <v>0</v>
      </c>
      <c r="D399" s="7">
        <v>0</v>
      </c>
      <c r="E399" s="7" t="s">
        <v>214</v>
      </c>
      <c r="F399" s="7" t="s">
        <v>234</v>
      </c>
    </row>
    <row r="400" spans="1:6" x14ac:dyDescent="0.25">
      <c r="A400" s="5">
        <v>33</v>
      </c>
      <c r="B400" s="5" t="s">
        <v>230</v>
      </c>
      <c r="C400" s="7">
        <v>10818</v>
      </c>
      <c r="D400" s="7">
        <v>9904.08</v>
      </c>
      <c r="E400" s="7" t="s">
        <v>214</v>
      </c>
      <c r="F400" s="7" t="s">
        <v>234</v>
      </c>
    </row>
    <row r="401" spans="1:9" x14ac:dyDescent="0.25">
      <c r="A401" s="5">
        <v>33</v>
      </c>
      <c r="B401" s="5" t="s">
        <v>231</v>
      </c>
      <c r="C401" s="7">
        <v>0</v>
      </c>
      <c r="D401" s="7">
        <v>0</v>
      </c>
      <c r="E401" s="7" t="s">
        <v>214</v>
      </c>
      <c r="F401" s="7" t="s">
        <v>234</v>
      </c>
    </row>
    <row r="402" spans="1:9" x14ac:dyDescent="0.25">
      <c r="A402" s="5">
        <v>33</v>
      </c>
      <c r="B402" s="5" t="s">
        <v>232</v>
      </c>
      <c r="C402" s="7">
        <v>0</v>
      </c>
      <c r="D402" s="7">
        <v>0</v>
      </c>
      <c r="E402" s="7" t="s">
        <v>214</v>
      </c>
      <c r="F402" s="7" t="s">
        <v>234</v>
      </c>
    </row>
    <row r="403" spans="1:9" x14ac:dyDescent="0.25">
      <c r="A403" s="5">
        <v>33</v>
      </c>
      <c r="B403" s="5" t="s">
        <v>241</v>
      </c>
      <c r="C403" s="7">
        <v>0</v>
      </c>
      <c r="D403" s="7">
        <v>0</v>
      </c>
      <c r="E403" s="7" t="s">
        <v>214</v>
      </c>
      <c r="F403" s="7" t="s">
        <v>234</v>
      </c>
    </row>
    <row r="404" spans="1:9" x14ac:dyDescent="0.25">
      <c r="A404" s="5">
        <v>34</v>
      </c>
      <c r="B404" s="5" t="s">
        <v>230</v>
      </c>
      <c r="C404" s="7">
        <v>13333.2</v>
      </c>
      <c r="D404" s="7">
        <v>12268.87</v>
      </c>
      <c r="E404" s="7" t="s">
        <v>214</v>
      </c>
      <c r="F404" s="7" t="s">
        <v>233</v>
      </c>
    </row>
    <row r="405" spans="1:9" x14ac:dyDescent="0.25">
      <c r="A405" s="5">
        <v>34</v>
      </c>
      <c r="B405" s="5" t="s">
        <v>231</v>
      </c>
      <c r="C405" s="7">
        <v>0</v>
      </c>
      <c r="D405" s="7">
        <v>0</v>
      </c>
      <c r="E405" s="7" t="s">
        <v>214</v>
      </c>
      <c r="F405" s="7" t="s">
        <v>234</v>
      </c>
    </row>
    <row r="406" spans="1:9" x14ac:dyDescent="0.25">
      <c r="A406" s="5">
        <v>34</v>
      </c>
      <c r="B406" s="5" t="s">
        <v>232</v>
      </c>
      <c r="C406" s="7">
        <v>0</v>
      </c>
      <c r="D406" s="7">
        <v>0</v>
      </c>
      <c r="E406" s="7" t="s">
        <v>214</v>
      </c>
      <c r="F406" s="7" t="s">
        <v>234</v>
      </c>
    </row>
    <row r="407" spans="1:9" x14ac:dyDescent="0.25">
      <c r="A407" s="5">
        <v>34</v>
      </c>
      <c r="B407" s="5" t="s">
        <v>241</v>
      </c>
      <c r="C407" s="7">
        <v>0</v>
      </c>
      <c r="D407" s="7">
        <v>0</v>
      </c>
      <c r="E407" s="7" t="s">
        <v>214</v>
      </c>
      <c r="F407" s="7" t="s">
        <v>234</v>
      </c>
    </row>
    <row r="408" spans="1:9" x14ac:dyDescent="0.25">
      <c r="A408" s="5">
        <v>35</v>
      </c>
      <c r="B408" s="5" t="s">
        <v>230</v>
      </c>
      <c r="C408" s="7">
        <v>13333.2</v>
      </c>
      <c r="D408" s="7">
        <v>12268.87</v>
      </c>
      <c r="E408" s="7" t="s">
        <v>214</v>
      </c>
      <c r="F408" s="7" t="s">
        <v>234</v>
      </c>
    </row>
    <row r="409" spans="1:9" x14ac:dyDescent="0.25">
      <c r="A409" s="5">
        <v>35</v>
      </c>
      <c r="B409" s="5" t="s">
        <v>231</v>
      </c>
      <c r="C409" s="7">
        <v>0</v>
      </c>
      <c r="D409" s="7">
        <v>0</v>
      </c>
      <c r="E409" s="7" t="s">
        <v>214</v>
      </c>
      <c r="F409" s="7" t="s">
        <v>234</v>
      </c>
    </row>
    <row r="410" spans="1:9" x14ac:dyDescent="0.25">
      <c r="A410" s="5">
        <v>35</v>
      </c>
      <c r="B410" s="5" t="s">
        <v>232</v>
      </c>
      <c r="C410" s="7">
        <v>0</v>
      </c>
      <c r="D410" s="7">
        <v>0</v>
      </c>
      <c r="E410" s="7" t="s">
        <v>214</v>
      </c>
      <c r="F410" s="7" t="s">
        <v>234</v>
      </c>
    </row>
    <row r="411" spans="1:9" x14ac:dyDescent="0.25">
      <c r="A411" s="5">
        <v>35</v>
      </c>
      <c r="B411" s="5" t="s">
        <v>241</v>
      </c>
      <c r="C411" s="7">
        <v>0</v>
      </c>
      <c r="D411" s="7">
        <v>0</v>
      </c>
      <c r="E411" s="7" t="s">
        <v>214</v>
      </c>
      <c r="F411" s="7" t="s">
        <v>234</v>
      </c>
    </row>
    <row r="412" spans="1:9" x14ac:dyDescent="0.25">
      <c r="A412" s="5">
        <v>36</v>
      </c>
      <c r="B412" s="5" t="s">
        <v>230</v>
      </c>
      <c r="C412" s="7">
        <v>10818</v>
      </c>
      <c r="D412" s="7">
        <v>9904.08</v>
      </c>
      <c r="E412" s="7" t="s">
        <v>214</v>
      </c>
      <c r="F412" s="7" t="s">
        <v>233</v>
      </c>
      <c r="G412" s="8"/>
      <c r="H412" s="8"/>
      <c r="I412" s="8"/>
    </row>
    <row r="413" spans="1:9" x14ac:dyDescent="0.25">
      <c r="A413" s="5">
        <v>36</v>
      </c>
      <c r="B413" s="5" t="s">
        <v>231</v>
      </c>
      <c r="C413" s="7">
        <v>0</v>
      </c>
      <c r="D413" s="7">
        <v>0</v>
      </c>
      <c r="E413" s="7" t="s">
        <v>214</v>
      </c>
      <c r="F413" s="7" t="s">
        <v>234</v>
      </c>
      <c r="G413" s="8"/>
      <c r="H413" s="8"/>
      <c r="I413" s="8"/>
    </row>
    <row r="414" spans="1:9" x14ac:dyDescent="0.25">
      <c r="A414" s="5">
        <v>36</v>
      </c>
      <c r="B414" s="5" t="s">
        <v>232</v>
      </c>
      <c r="C414" s="7">
        <v>0</v>
      </c>
      <c r="D414" s="7">
        <v>0</v>
      </c>
      <c r="E414" s="7" t="s">
        <v>214</v>
      </c>
      <c r="F414" s="7" t="s">
        <v>234</v>
      </c>
      <c r="G414" s="8"/>
      <c r="H414" s="8"/>
      <c r="I414" s="8"/>
    </row>
    <row r="415" spans="1:9" x14ac:dyDescent="0.25">
      <c r="A415" s="5">
        <v>36</v>
      </c>
      <c r="B415" s="5" t="s">
        <v>241</v>
      </c>
      <c r="C415" s="7">
        <v>0</v>
      </c>
      <c r="D415" s="7">
        <v>0</v>
      </c>
      <c r="E415" s="7" t="s">
        <v>214</v>
      </c>
      <c r="F415" s="7" t="s">
        <v>234</v>
      </c>
      <c r="G415" s="8"/>
      <c r="H415" s="8"/>
      <c r="I415" s="8"/>
    </row>
    <row r="416" spans="1:9" x14ac:dyDescent="0.25">
      <c r="A416" s="5">
        <v>37</v>
      </c>
      <c r="B416" s="5" t="s">
        <v>230</v>
      </c>
      <c r="C416" s="5">
        <v>5679.45</v>
      </c>
      <c r="D416" s="5">
        <v>5248.51</v>
      </c>
      <c r="E416" s="5" t="s">
        <v>214</v>
      </c>
      <c r="F416" s="5" t="s">
        <v>233</v>
      </c>
      <c r="G416" s="8"/>
      <c r="H416" s="8"/>
      <c r="I416" s="8"/>
    </row>
    <row r="417" spans="1:9" x14ac:dyDescent="0.25">
      <c r="A417" s="5">
        <v>37</v>
      </c>
      <c r="B417" s="5" t="s">
        <v>231</v>
      </c>
      <c r="C417" s="5">
        <v>0</v>
      </c>
      <c r="D417" s="5">
        <v>0</v>
      </c>
      <c r="E417" s="5" t="s">
        <v>214</v>
      </c>
      <c r="F417" s="5" t="s">
        <v>234</v>
      </c>
      <c r="G417" s="8"/>
      <c r="H417" s="8"/>
      <c r="I417" s="8"/>
    </row>
    <row r="418" spans="1:9" x14ac:dyDescent="0.25">
      <c r="A418" s="5">
        <v>37</v>
      </c>
      <c r="B418" s="5" t="s">
        <v>232</v>
      </c>
      <c r="C418" s="5">
        <v>0</v>
      </c>
      <c r="D418" s="5">
        <v>0</v>
      </c>
      <c r="E418" s="5" t="s">
        <v>214</v>
      </c>
      <c r="F418" s="5" t="s">
        <v>234</v>
      </c>
      <c r="G418" s="8"/>
      <c r="H418" s="8"/>
      <c r="I418" s="8"/>
    </row>
    <row r="419" spans="1:9" x14ac:dyDescent="0.25">
      <c r="A419" s="5">
        <v>37</v>
      </c>
      <c r="B419" s="5" t="s">
        <v>241</v>
      </c>
      <c r="C419" s="5">
        <v>2704.5</v>
      </c>
      <c r="D419" s="5">
        <v>2499.29</v>
      </c>
      <c r="E419" s="5" t="s">
        <v>214</v>
      </c>
      <c r="F419" s="5" t="s">
        <v>234</v>
      </c>
      <c r="G419" s="8"/>
      <c r="H419" s="8"/>
      <c r="I419" s="8"/>
    </row>
    <row r="420" spans="1:9" x14ac:dyDescent="0.25">
      <c r="A420" s="5">
        <v>38</v>
      </c>
      <c r="B420" s="5" t="s">
        <v>230</v>
      </c>
      <c r="C420" s="7">
        <v>10818</v>
      </c>
      <c r="D420" s="7">
        <v>9904.08</v>
      </c>
      <c r="E420" s="7" t="s">
        <v>214</v>
      </c>
      <c r="F420" s="7" t="s">
        <v>233</v>
      </c>
      <c r="G420" s="8"/>
      <c r="H420" s="8"/>
      <c r="I420" s="8"/>
    </row>
    <row r="421" spans="1:9" x14ac:dyDescent="0.25">
      <c r="A421" s="5">
        <v>38</v>
      </c>
      <c r="B421" s="5" t="s">
        <v>231</v>
      </c>
      <c r="C421" s="7">
        <v>0</v>
      </c>
      <c r="D421" s="7">
        <v>0</v>
      </c>
      <c r="E421" s="7" t="s">
        <v>214</v>
      </c>
      <c r="F421" s="7" t="s">
        <v>234</v>
      </c>
      <c r="G421" s="8"/>
      <c r="H421" s="8"/>
      <c r="I421" s="8"/>
    </row>
    <row r="422" spans="1:9" x14ac:dyDescent="0.25">
      <c r="A422" s="5">
        <v>38</v>
      </c>
      <c r="B422" s="5" t="s">
        <v>232</v>
      </c>
      <c r="C422" s="7">
        <v>0</v>
      </c>
      <c r="D422" s="7">
        <v>0</v>
      </c>
      <c r="E422" s="7" t="s">
        <v>214</v>
      </c>
      <c r="F422" s="7" t="s">
        <v>234</v>
      </c>
      <c r="G422" s="8"/>
      <c r="H422" s="8"/>
      <c r="I422" s="8"/>
    </row>
    <row r="423" spans="1:9" x14ac:dyDescent="0.25">
      <c r="A423" s="5">
        <v>38</v>
      </c>
      <c r="B423" s="5" t="s">
        <v>241</v>
      </c>
      <c r="C423" s="7">
        <v>0</v>
      </c>
      <c r="D423" s="7">
        <v>0</v>
      </c>
      <c r="E423" s="7" t="s">
        <v>214</v>
      </c>
      <c r="F423" s="7" t="s">
        <v>234</v>
      </c>
    </row>
    <row r="424" spans="1:9" x14ac:dyDescent="0.25">
      <c r="A424" s="5">
        <v>39</v>
      </c>
      <c r="B424" s="5" t="s">
        <v>230</v>
      </c>
      <c r="C424" s="7">
        <v>10818</v>
      </c>
      <c r="D424" s="7">
        <v>9904.08</v>
      </c>
      <c r="E424" s="7" t="s">
        <v>214</v>
      </c>
      <c r="F424" s="7" t="s">
        <v>233</v>
      </c>
    </row>
    <row r="425" spans="1:9" x14ac:dyDescent="0.25">
      <c r="A425" s="5">
        <v>39</v>
      </c>
      <c r="B425" s="5" t="s">
        <v>231</v>
      </c>
      <c r="C425" s="7">
        <v>0</v>
      </c>
      <c r="D425" s="7">
        <v>0</v>
      </c>
      <c r="E425" s="7" t="s">
        <v>214</v>
      </c>
      <c r="F425" s="7" t="s">
        <v>234</v>
      </c>
    </row>
    <row r="426" spans="1:9" x14ac:dyDescent="0.25">
      <c r="A426" s="5">
        <v>39</v>
      </c>
      <c r="B426" s="5" t="s">
        <v>232</v>
      </c>
      <c r="C426" s="7">
        <v>0</v>
      </c>
      <c r="D426" s="7">
        <v>0</v>
      </c>
      <c r="E426" s="7" t="s">
        <v>214</v>
      </c>
      <c r="F426" s="7" t="s">
        <v>234</v>
      </c>
    </row>
    <row r="427" spans="1:9" x14ac:dyDescent="0.25">
      <c r="A427" s="5">
        <v>39</v>
      </c>
      <c r="B427" s="5" t="s">
        <v>241</v>
      </c>
      <c r="C427" s="7">
        <v>0</v>
      </c>
      <c r="D427" s="7">
        <v>0</v>
      </c>
      <c r="E427" s="7" t="s">
        <v>214</v>
      </c>
      <c r="F427" s="7" t="s">
        <v>234</v>
      </c>
    </row>
    <row r="428" spans="1:9" x14ac:dyDescent="0.25">
      <c r="A428" s="5">
        <v>40</v>
      </c>
      <c r="B428" s="5" t="s">
        <v>230</v>
      </c>
      <c r="C428" s="7">
        <v>10818</v>
      </c>
      <c r="D428" s="7">
        <v>9904.08</v>
      </c>
      <c r="E428" s="7" t="s">
        <v>214</v>
      </c>
      <c r="F428" s="7" t="s">
        <v>233</v>
      </c>
    </row>
    <row r="429" spans="1:9" x14ac:dyDescent="0.25">
      <c r="A429" s="5">
        <v>40</v>
      </c>
      <c r="B429" s="5" t="s">
        <v>231</v>
      </c>
      <c r="C429" s="7">
        <v>0</v>
      </c>
      <c r="D429" s="7">
        <v>0</v>
      </c>
      <c r="E429" s="7" t="s">
        <v>214</v>
      </c>
      <c r="F429" s="7" t="s">
        <v>234</v>
      </c>
    </row>
    <row r="430" spans="1:9" x14ac:dyDescent="0.25">
      <c r="A430" s="5">
        <v>40</v>
      </c>
      <c r="B430" s="5" t="s">
        <v>232</v>
      </c>
      <c r="C430" s="7">
        <v>0</v>
      </c>
      <c r="D430" s="7">
        <v>0</v>
      </c>
      <c r="E430" s="7" t="s">
        <v>214</v>
      </c>
      <c r="F430" s="7" t="s">
        <v>234</v>
      </c>
    </row>
    <row r="431" spans="1:9" x14ac:dyDescent="0.25">
      <c r="A431" s="5">
        <v>40</v>
      </c>
      <c r="B431" s="5" t="s">
        <v>241</v>
      </c>
      <c r="C431" s="7">
        <v>0</v>
      </c>
      <c r="D431" s="7">
        <v>0</v>
      </c>
      <c r="E431" s="7" t="s">
        <v>214</v>
      </c>
      <c r="F431" s="7" t="s">
        <v>234</v>
      </c>
    </row>
    <row r="432" spans="1:9" x14ac:dyDescent="0.25">
      <c r="A432" s="5">
        <v>41</v>
      </c>
      <c r="B432" s="5" t="s">
        <v>230</v>
      </c>
      <c r="C432" s="7">
        <v>18666.8</v>
      </c>
      <c r="D432" s="7">
        <v>16590.41</v>
      </c>
      <c r="E432" s="7" t="s">
        <v>214</v>
      </c>
      <c r="F432" s="7" t="s">
        <v>233</v>
      </c>
    </row>
    <row r="433" spans="1:9" x14ac:dyDescent="0.25">
      <c r="A433" s="5">
        <v>41</v>
      </c>
      <c r="B433" s="5" t="s">
        <v>231</v>
      </c>
      <c r="C433" s="7">
        <v>0</v>
      </c>
      <c r="D433" s="7">
        <v>0</v>
      </c>
      <c r="E433" s="7" t="s">
        <v>214</v>
      </c>
      <c r="F433" s="7" t="s">
        <v>234</v>
      </c>
    </row>
    <row r="434" spans="1:9" x14ac:dyDescent="0.25">
      <c r="A434" s="5">
        <v>41</v>
      </c>
      <c r="B434" s="5" t="s">
        <v>232</v>
      </c>
      <c r="C434" s="7">
        <v>0</v>
      </c>
      <c r="D434" s="7">
        <v>0</v>
      </c>
      <c r="E434" s="7" t="s">
        <v>214</v>
      </c>
      <c r="F434" s="7" t="s">
        <v>234</v>
      </c>
      <c r="G434" s="8"/>
      <c r="H434" s="8"/>
      <c r="I434" s="8"/>
    </row>
    <row r="435" spans="1:9" x14ac:dyDescent="0.25">
      <c r="A435" s="5">
        <v>41</v>
      </c>
      <c r="B435" s="5" t="s">
        <v>241</v>
      </c>
      <c r="C435" s="7">
        <v>0</v>
      </c>
      <c r="D435" s="7">
        <v>0</v>
      </c>
      <c r="E435" s="7" t="s">
        <v>214</v>
      </c>
      <c r="F435" s="7" t="s">
        <v>234</v>
      </c>
      <c r="G435" s="8"/>
      <c r="H435" s="8"/>
      <c r="I435" s="8"/>
    </row>
    <row r="436" spans="1:9" x14ac:dyDescent="0.25">
      <c r="A436" s="5">
        <v>42</v>
      </c>
      <c r="B436" s="5" t="s">
        <v>230</v>
      </c>
      <c r="C436" s="5">
        <v>7167.46</v>
      </c>
      <c r="D436" s="5">
        <v>6844.44</v>
      </c>
      <c r="E436" s="5" t="s">
        <v>214</v>
      </c>
      <c r="F436" s="5" t="s">
        <v>233</v>
      </c>
      <c r="G436" s="8"/>
      <c r="H436" s="8"/>
      <c r="I436" s="8"/>
    </row>
    <row r="437" spans="1:9" x14ac:dyDescent="0.25">
      <c r="A437" s="5">
        <v>42</v>
      </c>
      <c r="B437" s="5" t="s">
        <v>231</v>
      </c>
      <c r="C437" s="5">
        <v>0</v>
      </c>
      <c r="D437" s="5">
        <v>0</v>
      </c>
      <c r="E437" s="5" t="s">
        <v>214</v>
      </c>
      <c r="F437" s="5" t="s">
        <v>234</v>
      </c>
      <c r="G437" s="8"/>
      <c r="H437" s="8"/>
      <c r="I437" s="8"/>
    </row>
    <row r="438" spans="1:9" x14ac:dyDescent="0.25">
      <c r="A438" s="5">
        <v>42</v>
      </c>
      <c r="B438" s="5" t="s">
        <v>232</v>
      </c>
      <c r="C438" s="5">
        <v>0</v>
      </c>
      <c r="D438" s="5">
        <v>0</v>
      </c>
      <c r="E438" s="5" t="s">
        <v>214</v>
      </c>
      <c r="F438" s="5" t="s">
        <v>234</v>
      </c>
      <c r="G438" s="8"/>
      <c r="H438" s="8"/>
      <c r="I438" s="8"/>
    </row>
    <row r="439" spans="1:9" x14ac:dyDescent="0.25">
      <c r="A439" s="5">
        <v>42</v>
      </c>
      <c r="B439" s="5" t="s">
        <v>241</v>
      </c>
      <c r="C439" s="5">
        <v>811.41</v>
      </c>
      <c r="D439" s="5">
        <v>774.84</v>
      </c>
      <c r="E439" s="5" t="s">
        <v>214</v>
      </c>
      <c r="F439" s="5" t="s">
        <v>234</v>
      </c>
      <c r="G439" s="8"/>
      <c r="H439" s="8"/>
      <c r="I439" s="8"/>
    </row>
    <row r="440" spans="1:9" x14ac:dyDescent="0.25">
      <c r="A440" s="5">
        <v>43</v>
      </c>
      <c r="B440" s="5" t="s">
        <v>230</v>
      </c>
      <c r="C440" s="7">
        <v>10818</v>
      </c>
      <c r="D440" s="7">
        <v>9904.08</v>
      </c>
      <c r="E440" s="7" t="s">
        <v>214</v>
      </c>
      <c r="F440" s="7" t="s">
        <v>233</v>
      </c>
      <c r="G440" s="8"/>
      <c r="H440" s="8"/>
      <c r="I440" s="8"/>
    </row>
    <row r="441" spans="1:9" x14ac:dyDescent="0.25">
      <c r="A441" s="5">
        <v>43</v>
      </c>
      <c r="B441" s="5" t="s">
        <v>231</v>
      </c>
      <c r="C441" s="7">
        <v>0</v>
      </c>
      <c r="D441" s="7">
        <v>0</v>
      </c>
      <c r="E441" s="7" t="s">
        <v>214</v>
      </c>
      <c r="F441" s="7" t="s">
        <v>234</v>
      </c>
      <c r="G441" s="8"/>
      <c r="H441" s="8"/>
      <c r="I441" s="8"/>
    </row>
    <row r="442" spans="1:9" x14ac:dyDescent="0.25">
      <c r="A442" s="5">
        <v>43</v>
      </c>
      <c r="B442" s="5" t="s">
        <v>232</v>
      </c>
      <c r="C442" s="7">
        <v>0</v>
      </c>
      <c r="D442" s="7">
        <v>0</v>
      </c>
      <c r="E442" s="7" t="s">
        <v>214</v>
      </c>
      <c r="F442" s="7" t="s">
        <v>234</v>
      </c>
      <c r="G442" s="8"/>
      <c r="H442" s="8"/>
      <c r="I442" s="8"/>
    </row>
    <row r="443" spans="1:9" x14ac:dyDescent="0.25">
      <c r="A443" s="5">
        <v>43</v>
      </c>
      <c r="B443" s="5" t="s">
        <v>241</v>
      </c>
      <c r="C443" s="7">
        <v>0</v>
      </c>
      <c r="D443" s="7">
        <v>0</v>
      </c>
      <c r="E443" s="7" t="s">
        <v>214</v>
      </c>
      <c r="F443" s="7" t="s">
        <v>234</v>
      </c>
      <c r="G443" s="8"/>
      <c r="H443" s="8"/>
      <c r="I443" s="8"/>
    </row>
    <row r="444" spans="1:9" x14ac:dyDescent="0.25">
      <c r="A444" s="5">
        <v>44</v>
      </c>
      <c r="B444" s="5" t="s">
        <v>230</v>
      </c>
      <c r="C444" s="7">
        <v>36595.599999999999</v>
      </c>
      <c r="D444" s="7">
        <v>28560.45</v>
      </c>
      <c r="E444" s="7" t="s">
        <v>214</v>
      </c>
      <c r="F444" s="7" t="s">
        <v>233</v>
      </c>
      <c r="G444" s="8"/>
      <c r="H444" s="8"/>
      <c r="I444" s="8"/>
    </row>
    <row r="445" spans="1:9" x14ac:dyDescent="0.25">
      <c r="A445" s="5">
        <v>44</v>
      </c>
      <c r="B445" s="5" t="s">
        <v>231</v>
      </c>
      <c r="C445" s="7">
        <v>0</v>
      </c>
      <c r="D445" s="7">
        <v>0</v>
      </c>
      <c r="E445" s="7" t="s">
        <v>214</v>
      </c>
      <c r="F445" s="7" t="s">
        <v>234</v>
      </c>
      <c r="G445" s="8"/>
      <c r="H445" s="8"/>
      <c r="I445" s="8"/>
    </row>
    <row r="446" spans="1:9" x14ac:dyDescent="0.25">
      <c r="A446" s="5">
        <v>44</v>
      </c>
      <c r="B446" s="5" t="s">
        <v>232</v>
      </c>
      <c r="C446" s="7">
        <v>0</v>
      </c>
      <c r="D446" s="7">
        <v>0</v>
      </c>
      <c r="E446" s="7" t="s">
        <v>214</v>
      </c>
      <c r="F446" s="7" t="s">
        <v>234</v>
      </c>
      <c r="G446" s="8"/>
      <c r="H446" s="8"/>
      <c r="I446" s="8"/>
    </row>
    <row r="447" spans="1:9" x14ac:dyDescent="0.25">
      <c r="A447" s="5">
        <v>44</v>
      </c>
      <c r="B447" s="5" t="s">
        <v>241</v>
      </c>
      <c r="C447" s="7">
        <v>0</v>
      </c>
      <c r="D447" s="7">
        <v>0</v>
      </c>
      <c r="E447" s="7" t="s">
        <v>214</v>
      </c>
      <c r="F447" s="7" t="s">
        <v>234</v>
      </c>
      <c r="G447" s="8"/>
      <c r="H447" s="8"/>
      <c r="I447" s="8"/>
    </row>
    <row r="448" spans="1:9" x14ac:dyDescent="0.25">
      <c r="A448" s="5">
        <v>45</v>
      </c>
      <c r="B448" s="5" t="s">
        <v>230</v>
      </c>
      <c r="C448" s="7">
        <v>13333.2</v>
      </c>
      <c r="D448" s="7">
        <v>12268.87</v>
      </c>
      <c r="E448" s="7" t="s">
        <v>214</v>
      </c>
      <c r="F448" s="7" t="s">
        <v>233</v>
      </c>
      <c r="G448" s="8"/>
      <c r="H448" s="8"/>
      <c r="I448" s="8"/>
    </row>
    <row r="449" spans="1:9" x14ac:dyDescent="0.25">
      <c r="A449" s="5">
        <v>45</v>
      </c>
      <c r="B449" s="5" t="s">
        <v>231</v>
      </c>
      <c r="C449" s="7">
        <v>0</v>
      </c>
      <c r="D449" s="7">
        <v>0</v>
      </c>
      <c r="E449" s="7" t="s">
        <v>214</v>
      </c>
      <c r="F449" s="7" t="s">
        <v>234</v>
      </c>
      <c r="G449" s="8"/>
      <c r="H449" s="8"/>
      <c r="I449" s="8"/>
    </row>
    <row r="450" spans="1:9" x14ac:dyDescent="0.25">
      <c r="A450" s="5">
        <v>45</v>
      </c>
      <c r="B450" s="5" t="s">
        <v>232</v>
      </c>
      <c r="C450" s="7">
        <v>0</v>
      </c>
      <c r="D450" s="7">
        <v>0</v>
      </c>
      <c r="E450" s="7" t="s">
        <v>214</v>
      </c>
      <c r="F450" s="7" t="s">
        <v>234</v>
      </c>
      <c r="G450" s="8"/>
      <c r="H450" s="8"/>
      <c r="I450" s="8"/>
    </row>
    <row r="451" spans="1:9" x14ac:dyDescent="0.25">
      <c r="A451" s="5">
        <v>45</v>
      </c>
      <c r="B451" s="5" t="s">
        <v>241</v>
      </c>
      <c r="C451" s="7">
        <v>0</v>
      </c>
      <c r="D451" s="7">
        <v>0</v>
      </c>
      <c r="E451" s="7" t="s">
        <v>214</v>
      </c>
      <c r="F451" s="7" t="s">
        <v>234</v>
      </c>
      <c r="G451" s="8"/>
      <c r="H451" s="8"/>
      <c r="I451" s="8"/>
    </row>
    <row r="452" spans="1:9" x14ac:dyDescent="0.25">
      <c r="A452" s="5">
        <v>46</v>
      </c>
      <c r="B452" s="5" t="s">
        <v>230</v>
      </c>
      <c r="C452" s="7">
        <v>13333.6</v>
      </c>
      <c r="D452" s="7">
        <v>12413.5</v>
      </c>
      <c r="E452" s="7" t="s">
        <v>214</v>
      </c>
      <c r="F452" s="7" t="s">
        <v>233</v>
      </c>
      <c r="G452" s="8"/>
      <c r="H452" s="8"/>
      <c r="I452" s="8"/>
    </row>
    <row r="453" spans="1:9" x14ac:dyDescent="0.25">
      <c r="A453" s="5">
        <v>46</v>
      </c>
      <c r="B453" s="5" t="s">
        <v>231</v>
      </c>
      <c r="C453" s="7">
        <v>0</v>
      </c>
      <c r="D453" s="7">
        <v>0</v>
      </c>
      <c r="E453" s="7" t="s">
        <v>214</v>
      </c>
      <c r="F453" s="7" t="s">
        <v>234</v>
      </c>
      <c r="G453" s="8"/>
      <c r="H453" s="8"/>
      <c r="I453" s="8"/>
    </row>
    <row r="454" spans="1:9" x14ac:dyDescent="0.25">
      <c r="A454" s="5">
        <v>46</v>
      </c>
      <c r="B454" s="5" t="s">
        <v>232</v>
      </c>
      <c r="C454" s="7">
        <v>0</v>
      </c>
      <c r="D454" s="7">
        <v>0</v>
      </c>
      <c r="E454" s="7" t="s">
        <v>214</v>
      </c>
      <c r="F454" s="7" t="s">
        <v>234</v>
      </c>
      <c r="G454" s="8"/>
      <c r="H454" s="8"/>
      <c r="I454" s="8"/>
    </row>
    <row r="455" spans="1:9" x14ac:dyDescent="0.25">
      <c r="A455" s="5">
        <v>46</v>
      </c>
      <c r="B455" s="5" t="s">
        <v>241</v>
      </c>
      <c r="C455" s="7">
        <v>0</v>
      </c>
      <c r="D455" s="7">
        <v>0</v>
      </c>
      <c r="E455" s="7" t="s">
        <v>214</v>
      </c>
      <c r="F455" s="7" t="s">
        <v>234</v>
      </c>
      <c r="G455" s="8"/>
      <c r="H455" s="8"/>
      <c r="I455" s="8"/>
    </row>
    <row r="456" spans="1:9" x14ac:dyDescent="0.25">
      <c r="A456" s="5">
        <v>47</v>
      </c>
      <c r="B456" s="5" t="s">
        <v>230</v>
      </c>
      <c r="C456" s="7">
        <v>13333.6</v>
      </c>
      <c r="D456" s="7">
        <v>12413.5</v>
      </c>
      <c r="E456" s="7" t="s">
        <v>214</v>
      </c>
      <c r="F456" s="7" t="s">
        <v>233</v>
      </c>
      <c r="G456" s="8"/>
      <c r="H456" s="8"/>
      <c r="I456" s="8"/>
    </row>
    <row r="457" spans="1:9" x14ac:dyDescent="0.25">
      <c r="A457" s="5">
        <v>47</v>
      </c>
      <c r="B457" s="5" t="s">
        <v>231</v>
      </c>
      <c r="C457" s="7">
        <v>0</v>
      </c>
      <c r="D457" s="7">
        <v>0</v>
      </c>
      <c r="E457" s="7" t="s">
        <v>214</v>
      </c>
      <c r="F457" s="7" t="s">
        <v>234</v>
      </c>
      <c r="G457" s="8"/>
      <c r="H457" s="8"/>
      <c r="I457" s="8"/>
    </row>
    <row r="458" spans="1:9" x14ac:dyDescent="0.25">
      <c r="A458" s="5">
        <v>47</v>
      </c>
      <c r="B458" s="5" t="s">
        <v>232</v>
      </c>
      <c r="C458" s="7">
        <v>0</v>
      </c>
      <c r="D458" s="7">
        <v>0</v>
      </c>
      <c r="E458" s="7" t="s">
        <v>214</v>
      </c>
      <c r="F458" s="7" t="s">
        <v>234</v>
      </c>
      <c r="G458" s="8"/>
      <c r="H458" s="8"/>
      <c r="I458" s="8"/>
    </row>
    <row r="459" spans="1:9" x14ac:dyDescent="0.25">
      <c r="A459" s="5">
        <v>47</v>
      </c>
      <c r="B459" s="5" t="s">
        <v>241</v>
      </c>
      <c r="C459" s="7">
        <v>0</v>
      </c>
      <c r="D459" s="7">
        <v>0</v>
      </c>
      <c r="E459" s="7" t="s">
        <v>214</v>
      </c>
      <c r="F459" s="7" t="s">
        <v>234</v>
      </c>
      <c r="G459" s="8"/>
      <c r="H459" s="8"/>
      <c r="I459" s="8"/>
    </row>
    <row r="460" spans="1:9" x14ac:dyDescent="0.25">
      <c r="A460" s="5">
        <v>48</v>
      </c>
      <c r="B460" s="5" t="s">
        <v>230</v>
      </c>
      <c r="C460" s="7">
        <v>16000</v>
      </c>
      <c r="D460" s="7">
        <v>14847.39</v>
      </c>
      <c r="E460" s="7" t="s">
        <v>214</v>
      </c>
      <c r="F460" s="7" t="s">
        <v>233</v>
      </c>
      <c r="G460" s="8"/>
      <c r="H460" s="8"/>
      <c r="I460" s="8"/>
    </row>
    <row r="461" spans="1:9" x14ac:dyDescent="0.25">
      <c r="A461" s="5">
        <v>48</v>
      </c>
      <c r="B461" s="5" t="s">
        <v>231</v>
      </c>
      <c r="C461" s="7">
        <v>0</v>
      </c>
      <c r="D461" s="7">
        <v>0</v>
      </c>
      <c r="E461" s="7" t="s">
        <v>214</v>
      </c>
      <c r="F461" s="7" t="s">
        <v>234</v>
      </c>
      <c r="G461" s="8"/>
      <c r="H461" s="8"/>
      <c r="I461" s="8"/>
    </row>
    <row r="462" spans="1:9" x14ac:dyDescent="0.25">
      <c r="A462" s="5">
        <v>48</v>
      </c>
      <c r="B462" s="5" t="s">
        <v>232</v>
      </c>
      <c r="C462" s="7">
        <v>0</v>
      </c>
      <c r="D462" s="7">
        <v>0</v>
      </c>
      <c r="E462" s="7" t="s">
        <v>214</v>
      </c>
      <c r="F462" s="7" t="s">
        <v>234</v>
      </c>
      <c r="G462" s="8"/>
      <c r="H462" s="8"/>
      <c r="I462" s="8"/>
    </row>
    <row r="463" spans="1:9" x14ac:dyDescent="0.25">
      <c r="A463" s="5">
        <v>48</v>
      </c>
      <c r="B463" s="5" t="s">
        <v>241</v>
      </c>
      <c r="C463" s="7">
        <v>0</v>
      </c>
      <c r="D463" s="7">
        <v>0</v>
      </c>
      <c r="E463" s="7" t="s">
        <v>214</v>
      </c>
      <c r="F463" s="7" t="s">
        <v>234</v>
      </c>
      <c r="G463" s="8"/>
      <c r="H463" s="8"/>
      <c r="I463" s="8"/>
    </row>
    <row r="464" spans="1:9" x14ac:dyDescent="0.25">
      <c r="A464" s="5">
        <v>49</v>
      </c>
      <c r="B464" s="5" t="s">
        <v>230</v>
      </c>
      <c r="C464" s="7">
        <v>43454</v>
      </c>
      <c r="D464" s="7">
        <v>33806.44</v>
      </c>
      <c r="E464" s="7" t="s">
        <v>214</v>
      </c>
      <c r="F464" s="7" t="s">
        <v>233</v>
      </c>
      <c r="G464" s="8"/>
      <c r="H464" s="8"/>
      <c r="I464" s="8"/>
    </row>
    <row r="465" spans="1:9" x14ac:dyDescent="0.25">
      <c r="A465" s="5">
        <v>49</v>
      </c>
      <c r="B465" s="5" t="s">
        <v>231</v>
      </c>
      <c r="C465" s="7">
        <v>0</v>
      </c>
      <c r="D465" s="7">
        <v>0</v>
      </c>
      <c r="E465" s="7" t="s">
        <v>214</v>
      </c>
      <c r="F465" s="7" t="s">
        <v>234</v>
      </c>
      <c r="G465" s="8"/>
      <c r="H465" s="8"/>
      <c r="I465" s="8"/>
    </row>
    <row r="466" spans="1:9" x14ac:dyDescent="0.25">
      <c r="A466" s="5">
        <v>49</v>
      </c>
      <c r="B466" s="5" t="s">
        <v>232</v>
      </c>
      <c r="C466" s="7">
        <v>0</v>
      </c>
      <c r="D466" s="7">
        <v>0</v>
      </c>
      <c r="E466" s="7" t="s">
        <v>214</v>
      </c>
      <c r="F466" s="7" t="s">
        <v>234</v>
      </c>
      <c r="G466" s="8"/>
      <c r="H466" s="8"/>
      <c r="I466" s="8"/>
    </row>
    <row r="467" spans="1:9" x14ac:dyDescent="0.25">
      <c r="A467" s="5">
        <v>49</v>
      </c>
      <c r="B467" s="5" t="s">
        <v>241</v>
      </c>
      <c r="C467" s="7">
        <v>0</v>
      </c>
      <c r="D467" s="7">
        <v>0</v>
      </c>
      <c r="E467" s="7" t="s">
        <v>214</v>
      </c>
      <c r="F467" s="7" t="s">
        <v>234</v>
      </c>
    </row>
    <row r="468" spans="1:9" x14ac:dyDescent="0.25">
      <c r="A468" s="5">
        <v>50</v>
      </c>
      <c r="B468" s="5" t="s">
        <v>230</v>
      </c>
      <c r="C468" s="7">
        <v>9068.19</v>
      </c>
      <c r="D468" s="7">
        <v>8345.31</v>
      </c>
      <c r="E468" s="7" t="s">
        <v>214</v>
      </c>
      <c r="F468" s="7" t="s">
        <v>233</v>
      </c>
    </row>
    <row r="469" spans="1:9" x14ac:dyDescent="0.25">
      <c r="A469" s="5">
        <v>50</v>
      </c>
      <c r="B469" s="5" t="s">
        <v>231</v>
      </c>
      <c r="C469" s="7">
        <v>0</v>
      </c>
      <c r="D469" s="7">
        <v>0</v>
      </c>
      <c r="E469" s="7" t="s">
        <v>214</v>
      </c>
      <c r="F469" s="7" t="s">
        <v>234</v>
      </c>
    </row>
    <row r="470" spans="1:9" x14ac:dyDescent="0.25">
      <c r="A470" s="5">
        <v>50</v>
      </c>
      <c r="B470" s="5" t="s">
        <v>232</v>
      </c>
      <c r="C470" s="7">
        <v>0</v>
      </c>
      <c r="D470" s="7">
        <v>0</v>
      </c>
      <c r="E470" s="7" t="s">
        <v>214</v>
      </c>
      <c r="F470" s="7" t="s">
        <v>234</v>
      </c>
    </row>
    <row r="471" spans="1:9" x14ac:dyDescent="0.25">
      <c r="A471" s="5">
        <v>50</v>
      </c>
      <c r="B471" s="5" t="s">
        <v>241</v>
      </c>
      <c r="C471" s="7">
        <v>0</v>
      </c>
      <c r="D471" s="7">
        <v>0</v>
      </c>
      <c r="E471" s="7" t="s">
        <v>214</v>
      </c>
      <c r="F471" s="7" t="s">
        <v>234</v>
      </c>
    </row>
    <row r="472" spans="1:9" x14ac:dyDescent="0.25">
      <c r="A472" s="5">
        <v>51</v>
      </c>
      <c r="B472" s="5" t="s">
        <v>230</v>
      </c>
      <c r="C472" s="7">
        <v>10235.780000000001</v>
      </c>
      <c r="D472" s="7">
        <v>8984.94</v>
      </c>
      <c r="E472" s="7" t="s">
        <v>214</v>
      </c>
      <c r="F472" s="7" t="s">
        <v>233</v>
      </c>
    </row>
    <row r="473" spans="1:9" x14ac:dyDescent="0.25">
      <c r="A473" s="5">
        <v>51</v>
      </c>
      <c r="B473" s="5" t="s">
        <v>231</v>
      </c>
      <c r="C473" s="7">
        <v>0</v>
      </c>
      <c r="D473" s="7">
        <v>0</v>
      </c>
      <c r="E473" s="7" t="s">
        <v>214</v>
      </c>
      <c r="F473" s="7" t="s">
        <v>234</v>
      </c>
    </row>
    <row r="474" spans="1:9" x14ac:dyDescent="0.25">
      <c r="A474" s="5">
        <v>51</v>
      </c>
      <c r="B474" s="5" t="s">
        <v>232</v>
      </c>
      <c r="C474" s="7">
        <v>0</v>
      </c>
      <c r="D474" s="7">
        <v>0</v>
      </c>
      <c r="E474" s="7" t="s">
        <v>214</v>
      </c>
      <c r="F474" s="7" t="s">
        <v>234</v>
      </c>
    </row>
    <row r="475" spans="1:9" x14ac:dyDescent="0.25">
      <c r="A475" s="5">
        <v>51</v>
      </c>
      <c r="B475" s="5" t="s">
        <v>241</v>
      </c>
      <c r="C475" s="7">
        <v>0</v>
      </c>
      <c r="D475" s="7">
        <v>0</v>
      </c>
      <c r="E475" s="7" t="s">
        <v>214</v>
      </c>
      <c r="F475" s="7" t="s">
        <v>234</v>
      </c>
    </row>
    <row r="476" spans="1:9" x14ac:dyDescent="0.25">
      <c r="A476" s="5">
        <v>52</v>
      </c>
      <c r="B476" s="5" t="s">
        <v>230</v>
      </c>
      <c r="C476" s="7">
        <v>7707.83</v>
      </c>
      <c r="D476" s="7">
        <v>7132.83</v>
      </c>
      <c r="E476" s="7" t="s">
        <v>214</v>
      </c>
      <c r="F476" s="7" t="s">
        <v>233</v>
      </c>
    </row>
    <row r="477" spans="1:9" x14ac:dyDescent="0.25">
      <c r="A477" s="5">
        <v>52</v>
      </c>
      <c r="B477" s="5" t="s">
        <v>231</v>
      </c>
      <c r="C477" s="7">
        <v>0</v>
      </c>
      <c r="D477" s="7">
        <v>0</v>
      </c>
      <c r="E477" s="7" t="s">
        <v>214</v>
      </c>
      <c r="F477" s="7" t="s">
        <v>234</v>
      </c>
    </row>
    <row r="478" spans="1:9" x14ac:dyDescent="0.25">
      <c r="A478" s="5">
        <v>52</v>
      </c>
      <c r="B478" s="5" t="s">
        <v>232</v>
      </c>
      <c r="C478" s="7">
        <v>0</v>
      </c>
      <c r="D478" s="7">
        <v>0</v>
      </c>
      <c r="E478" s="7" t="s">
        <v>214</v>
      </c>
      <c r="F478" s="7" t="s">
        <v>234</v>
      </c>
    </row>
    <row r="479" spans="1:9" x14ac:dyDescent="0.25">
      <c r="A479" s="5">
        <v>52</v>
      </c>
      <c r="B479" s="5" t="s">
        <v>241</v>
      </c>
      <c r="C479" s="7">
        <v>0</v>
      </c>
      <c r="D479" s="7">
        <v>0</v>
      </c>
      <c r="E479" s="7" t="s">
        <v>214</v>
      </c>
      <c r="F479" s="7" t="s">
        <v>234</v>
      </c>
    </row>
    <row r="480" spans="1:9" x14ac:dyDescent="0.25">
      <c r="A480" s="5">
        <v>53</v>
      </c>
      <c r="B480" s="5" t="s">
        <v>230</v>
      </c>
      <c r="C480" s="7">
        <v>10740</v>
      </c>
      <c r="D480" s="7">
        <v>10145.74</v>
      </c>
      <c r="E480" s="7" t="s">
        <v>214</v>
      </c>
      <c r="F480" s="7" t="s">
        <v>233</v>
      </c>
    </row>
    <row r="481" spans="1:6" x14ac:dyDescent="0.25">
      <c r="A481" s="5">
        <v>53</v>
      </c>
      <c r="B481" s="5" t="s">
        <v>231</v>
      </c>
      <c r="C481" s="7">
        <v>0</v>
      </c>
      <c r="D481" s="7">
        <v>0</v>
      </c>
      <c r="E481" s="7" t="s">
        <v>214</v>
      </c>
      <c r="F481" s="7" t="s">
        <v>234</v>
      </c>
    </row>
    <row r="482" spans="1:6" x14ac:dyDescent="0.25">
      <c r="A482" s="5">
        <v>53</v>
      </c>
      <c r="B482" s="5" t="s">
        <v>232</v>
      </c>
      <c r="C482" s="7">
        <v>0</v>
      </c>
      <c r="D482" s="7">
        <v>0</v>
      </c>
      <c r="E482" s="7" t="s">
        <v>214</v>
      </c>
      <c r="F482" s="7" t="s">
        <v>234</v>
      </c>
    </row>
    <row r="483" spans="1:6" x14ac:dyDescent="0.25">
      <c r="A483" s="5">
        <v>53</v>
      </c>
      <c r="B483" s="5" t="s">
        <v>241</v>
      </c>
      <c r="C483" s="7">
        <v>0</v>
      </c>
      <c r="D483" s="7">
        <v>0</v>
      </c>
      <c r="E483" s="7" t="s">
        <v>214</v>
      </c>
      <c r="F483" s="7" t="s">
        <v>234</v>
      </c>
    </row>
    <row r="484" spans="1:6" x14ac:dyDescent="0.25">
      <c r="A484" s="5">
        <v>54</v>
      </c>
      <c r="B484" s="5" t="s">
        <v>230</v>
      </c>
      <c r="C484" s="7">
        <v>39341.69</v>
      </c>
      <c r="D484" s="7">
        <v>28264.58</v>
      </c>
      <c r="E484" s="7" t="s">
        <v>214</v>
      </c>
      <c r="F484" s="7" t="s">
        <v>233</v>
      </c>
    </row>
    <row r="485" spans="1:6" x14ac:dyDescent="0.25">
      <c r="A485" s="5">
        <v>54</v>
      </c>
      <c r="B485" s="5" t="s">
        <v>231</v>
      </c>
      <c r="C485" s="7">
        <v>0</v>
      </c>
      <c r="D485" s="7">
        <v>0</v>
      </c>
      <c r="E485" s="7" t="s">
        <v>214</v>
      </c>
      <c r="F485" s="7" t="s">
        <v>234</v>
      </c>
    </row>
    <row r="486" spans="1:6" x14ac:dyDescent="0.25">
      <c r="A486" s="5">
        <v>54</v>
      </c>
      <c r="B486" s="5" t="s">
        <v>232</v>
      </c>
      <c r="C486" s="7">
        <v>0</v>
      </c>
      <c r="D486" s="7">
        <v>0</v>
      </c>
      <c r="E486" s="7" t="s">
        <v>214</v>
      </c>
      <c r="F486" s="7" t="s">
        <v>234</v>
      </c>
    </row>
    <row r="487" spans="1:6" x14ac:dyDescent="0.25">
      <c r="A487" s="5">
        <v>54</v>
      </c>
      <c r="B487" s="5" t="s">
        <v>241</v>
      </c>
      <c r="C487" s="7">
        <v>0</v>
      </c>
      <c r="D487" s="7">
        <v>0</v>
      </c>
      <c r="E487" s="7" t="s">
        <v>214</v>
      </c>
      <c r="F487" s="7" t="s">
        <v>234</v>
      </c>
    </row>
    <row r="488" spans="1:6" x14ac:dyDescent="0.25">
      <c r="A488" s="5">
        <v>55</v>
      </c>
      <c r="B488" s="5" t="s">
        <v>230</v>
      </c>
      <c r="C488" s="7">
        <v>6612.5</v>
      </c>
      <c r="D488" s="7">
        <v>6156.14</v>
      </c>
      <c r="E488" s="7" t="s">
        <v>214</v>
      </c>
      <c r="F488" s="7" t="s">
        <v>233</v>
      </c>
    </row>
    <row r="489" spans="1:6" x14ac:dyDescent="0.25">
      <c r="A489" s="5">
        <v>55</v>
      </c>
      <c r="B489" s="5" t="s">
        <v>231</v>
      </c>
      <c r="C489" s="7">
        <v>0</v>
      </c>
      <c r="D489" s="7">
        <v>0</v>
      </c>
      <c r="E489" s="7" t="s">
        <v>214</v>
      </c>
      <c r="F489" s="7" t="s">
        <v>234</v>
      </c>
    </row>
    <row r="490" spans="1:6" x14ac:dyDescent="0.25">
      <c r="A490" s="5">
        <v>55</v>
      </c>
      <c r="B490" s="5" t="s">
        <v>232</v>
      </c>
      <c r="C490" s="7">
        <v>0</v>
      </c>
      <c r="D490" s="7">
        <v>0</v>
      </c>
      <c r="E490" s="7" t="s">
        <v>214</v>
      </c>
      <c r="F490" s="7" t="s">
        <v>234</v>
      </c>
    </row>
    <row r="491" spans="1:6" x14ac:dyDescent="0.25">
      <c r="A491" s="5">
        <v>55</v>
      </c>
      <c r="B491" s="5" t="s">
        <v>241</v>
      </c>
      <c r="C491" s="7">
        <v>0</v>
      </c>
      <c r="D491" s="7">
        <v>0</v>
      </c>
      <c r="E491" s="7" t="s">
        <v>214</v>
      </c>
      <c r="F491" s="7" t="s">
        <v>234</v>
      </c>
    </row>
    <row r="492" spans="1:6" x14ac:dyDescent="0.25">
      <c r="A492" s="5">
        <v>56</v>
      </c>
      <c r="B492" s="5" t="s">
        <v>230</v>
      </c>
      <c r="C492" s="7">
        <v>6256.16</v>
      </c>
      <c r="D492" s="7">
        <v>5838.95</v>
      </c>
      <c r="E492" s="7" t="s">
        <v>214</v>
      </c>
      <c r="F492" s="7" t="s">
        <v>233</v>
      </c>
    </row>
    <row r="493" spans="1:6" x14ac:dyDescent="0.25">
      <c r="A493" s="5">
        <v>56</v>
      </c>
      <c r="B493" s="5" t="s">
        <v>231</v>
      </c>
      <c r="C493" s="7">
        <v>0</v>
      </c>
      <c r="D493" s="7">
        <v>0</v>
      </c>
      <c r="E493" s="7" t="s">
        <v>214</v>
      </c>
      <c r="F493" s="7" t="s">
        <v>234</v>
      </c>
    </row>
    <row r="494" spans="1:6" x14ac:dyDescent="0.25">
      <c r="A494" s="5">
        <v>56</v>
      </c>
      <c r="B494" s="5" t="s">
        <v>232</v>
      </c>
      <c r="C494" s="7">
        <v>0</v>
      </c>
      <c r="D494" s="7">
        <v>0</v>
      </c>
      <c r="E494" s="7" t="s">
        <v>214</v>
      </c>
      <c r="F494" s="7" t="s">
        <v>234</v>
      </c>
    </row>
    <row r="495" spans="1:6" x14ac:dyDescent="0.25">
      <c r="A495" s="5">
        <v>56</v>
      </c>
      <c r="B495" s="5" t="s">
        <v>241</v>
      </c>
      <c r="C495" s="7">
        <v>0</v>
      </c>
      <c r="D495" s="7">
        <v>0</v>
      </c>
      <c r="E495" s="7" t="s">
        <v>214</v>
      </c>
      <c r="F495" s="7" t="s">
        <v>234</v>
      </c>
    </row>
    <row r="496" spans="1:6" x14ac:dyDescent="0.25">
      <c r="A496" s="5">
        <v>57</v>
      </c>
      <c r="B496" s="5" t="s">
        <v>230</v>
      </c>
      <c r="C496" s="7">
        <v>10133.879999999999</v>
      </c>
      <c r="D496" s="7">
        <v>8485.77</v>
      </c>
      <c r="E496" s="7" t="s">
        <v>214</v>
      </c>
      <c r="F496" s="7" t="s">
        <v>233</v>
      </c>
    </row>
    <row r="497" spans="1:6" x14ac:dyDescent="0.25">
      <c r="A497" s="5">
        <v>57</v>
      </c>
      <c r="B497" s="5" t="s">
        <v>231</v>
      </c>
      <c r="C497" s="7">
        <v>0</v>
      </c>
      <c r="D497" s="7">
        <v>0</v>
      </c>
      <c r="E497" s="7" t="s">
        <v>214</v>
      </c>
      <c r="F497" s="7" t="s">
        <v>234</v>
      </c>
    </row>
    <row r="498" spans="1:6" x14ac:dyDescent="0.25">
      <c r="A498" s="5">
        <v>57</v>
      </c>
      <c r="B498" s="5" t="s">
        <v>232</v>
      </c>
      <c r="C498" s="7">
        <v>0</v>
      </c>
      <c r="D498" s="7">
        <v>0</v>
      </c>
      <c r="E498" s="7" t="s">
        <v>214</v>
      </c>
      <c r="F498" s="7" t="s">
        <v>234</v>
      </c>
    </row>
    <row r="499" spans="1:6" s="8" customFormat="1" x14ac:dyDescent="0.25">
      <c r="A499" s="8">
        <v>57</v>
      </c>
      <c r="B499" s="8" t="s">
        <v>241</v>
      </c>
      <c r="C499" s="8">
        <v>0</v>
      </c>
      <c r="D499" s="8">
        <v>0</v>
      </c>
      <c r="E499" s="8" t="s">
        <v>214</v>
      </c>
      <c r="F499" s="8" t="s">
        <v>234</v>
      </c>
    </row>
    <row r="500" spans="1:6" s="8" customFormat="1" x14ac:dyDescent="0.25">
      <c r="A500" s="7">
        <v>58</v>
      </c>
      <c r="B500" s="7" t="s">
        <v>230</v>
      </c>
      <c r="C500" s="7">
        <v>0</v>
      </c>
      <c r="D500" s="7">
        <v>0</v>
      </c>
      <c r="E500" s="7" t="s">
        <v>214</v>
      </c>
      <c r="F500" s="7" t="s">
        <v>233</v>
      </c>
    </row>
    <row r="501" spans="1:6" s="8" customFormat="1" x14ac:dyDescent="0.25">
      <c r="A501" s="7">
        <v>58</v>
      </c>
      <c r="B501" s="7" t="s">
        <v>229</v>
      </c>
      <c r="C501" s="7">
        <v>2500</v>
      </c>
      <c r="D501" s="7">
        <v>2365.92</v>
      </c>
      <c r="E501" s="7" t="s">
        <v>214</v>
      </c>
      <c r="F501" s="7" t="s">
        <v>234</v>
      </c>
    </row>
    <row r="502" spans="1:6" s="8" customFormat="1" x14ac:dyDescent="0.25">
      <c r="A502" s="7">
        <v>58</v>
      </c>
      <c r="B502" s="7" t="s">
        <v>232</v>
      </c>
      <c r="C502" s="7">
        <v>0</v>
      </c>
      <c r="D502" s="7">
        <v>0</v>
      </c>
      <c r="E502" s="7" t="s">
        <v>214</v>
      </c>
      <c r="F502" s="7" t="s">
        <v>234</v>
      </c>
    </row>
    <row r="503" spans="1:6" s="8" customFormat="1" x14ac:dyDescent="0.25">
      <c r="A503" s="7">
        <v>58</v>
      </c>
      <c r="B503" s="7" t="s">
        <v>241</v>
      </c>
      <c r="C503" s="7">
        <v>0</v>
      </c>
      <c r="D503" s="7">
        <v>0</v>
      </c>
      <c r="E503" s="7" t="s">
        <v>214</v>
      </c>
      <c r="F503" s="7" t="s">
        <v>234</v>
      </c>
    </row>
    <row r="504" spans="1:6" s="8" customFormat="1" x14ac:dyDescent="0.25">
      <c r="A504" s="7">
        <v>59</v>
      </c>
      <c r="B504" s="7" t="s">
        <v>230</v>
      </c>
      <c r="C504" s="7">
        <v>3050.1</v>
      </c>
      <c r="D504" s="7">
        <v>2981.33</v>
      </c>
      <c r="E504" s="7" t="s">
        <v>214</v>
      </c>
      <c r="F504" s="7" t="s">
        <v>233</v>
      </c>
    </row>
    <row r="505" spans="1:6" s="8" customFormat="1" x14ac:dyDescent="0.25">
      <c r="A505" s="7">
        <v>59</v>
      </c>
      <c r="B505" s="7" t="s">
        <v>231</v>
      </c>
      <c r="C505" s="7">
        <v>0</v>
      </c>
      <c r="D505" s="7">
        <v>0</v>
      </c>
      <c r="E505" s="7" t="s">
        <v>214</v>
      </c>
      <c r="F505" s="7" t="s">
        <v>234</v>
      </c>
    </row>
    <row r="506" spans="1:6" s="8" customFormat="1" x14ac:dyDescent="0.25">
      <c r="A506" s="7">
        <v>59</v>
      </c>
      <c r="B506" s="7" t="s">
        <v>232</v>
      </c>
      <c r="C506" s="7">
        <v>0</v>
      </c>
      <c r="D506" s="7">
        <v>0</v>
      </c>
      <c r="E506" s="7" t="s">
        <v>214</v>
      </c>
      <c r="F506" s="7" t="s">
        <v>234</v>
      </c>
    </row>
    <row r="507" spans="1:6" s="8" customFormat="1" x14ac:dyDescent="0.25">
      <c r="A507" s="7">
        <v>59</v>
      </c>
      <c r="B507" s="7" t="s">
        <v>241</v>
      </c>
      <c r="C507" s="7">
        <v>0</v>
      </c>
      <c r="D507" s="7">
        <v>0</v>
      </c>
      <c r="E507" s="7" t="s">
        <v>214</v>
      </c>
      <c r="F507" s="7" t="s">
        <v>234</v>
      </c>
    </row>
    <row r="508" spans="1:6" s="8" customFormat="1" x14ac:dyDescent="0.25">
      <c r="A508" s="7">
        <v>60</v>
      </c>
      <c r="B508" s="7" t="s">
        <v>230</v>
      </c>
      <c r="C508" s="7">
        <v>1812.02</v>
      </c>
      <c r="D508" s="7">
        <v>1812.02</v>
      </c>
      <c r="E508" s="7" t="s">
        <v>214</v>
      </c>
      <c r="F508" s="13" t="s">
        <v>233</v>
      </c>
    </row>
    <row r="509" spans="1:6" s="8" customFormat="1" x14ac:dyDescent="0.25">
      <c r="A509" s="7">
        <v>60</v>
      </c>
      <c r="B509" s="7" t="s">
        <v>231</v>
      </c>
      <c r="C509" s="7">
        <v>0</v>
      </c>
      <c r="D509" s="7">
        <v>0</v>
      </c>
      <c r="E509" s="7" t="s">
        <v>214</v>
      </c>
      <c r="F509" s="7" t="s">
        <v>234</v>
      </c>
    </row>
    <row r="510" spans="1:6" s="8" customFormat="1" x14ac:dyDescent="0.25">
      <c r="A510" s="7">
        <v>60</v>
      </c>
      <c r="B510" s="7" t="s">
        <v>232</v>
      </c>
      <c r="C510" s="7">
        <v>0</v>
      </c>
      <c r="D510" s="7">
        <v>0</v>
      </c>
      <c r="E510" s="7" t="s">
        <v>214</v>
      </c>
      <c r="F510" s="7" t="s">
        <v>234</v>
      </c>
    </row>
    <row r="511" spans="1:6" s="8" customFormat="1" x14ac:dyDescent="0.25">
      <c r="A511" s="7">
        <v>60</v>
      </c>
      <c r="B511" s="7" t="s">
        <v>241</v>
      </c>
      <c r="C511" s="7">
        <v>0</v>
      </c>
      <c r="D511" s="7">
        <v>0</v>
      </c>
      <c r="E511" s="7" t="s">
        <v>214</v>
      </c>
      <c r="F511" s="7" t="s">
        <v>234</v>
      </c>
    </row>
    <row r="512" spans="1:6" s="8" customFormat="1" x14ac:dyDescent="0.25"/>
    <row r="513" spans="3:4" s="8" customFormat="1" x14ac:dyDescent="0.25">
      <c r="C513" s="8">
        <f>SUM(C4:C511)</f>
        <v>1587694.89</v>
      </c>
      <c r="D513" s="8">
        <f>SUM(D4:D511)</f>
        <v>1289572.2699999993</v>
      </c>
    </row>
    <row r="514" spans="3:4" s="8" customForma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2"/>
  <sheetViews>
    <sheetView topLeftCell="A126" zoomScale="110" zoomScaleNormal="110" workbookViewId="0">
      <selection activeCell="D259" sqref="D259"/>
    </sheetView>
  </sheetViews>
  <sheetFormatPr baseColWidth="10" defaultColWidth="9.140625" defaultRowHeight="15" x14ac:dyDescent="0.25"/>
  <cols>
    <col min="1" max="1" width="4" bestFit="1" customWidth="1"/>
    <col min="2" max="2" width="22" customWidth="1"/>
    <col min="3" max="3" width="18.5703125" customWidth="1"/>
    <col min="4" max="4" width="20.7109375" customWidth="1"/>
    <col min="5" max="5" width="17.425781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214</v>
      </c>
      <c r="F4" t="s">
        <v>237</v>
      </c>
    </row>
    <row r="5" spans="1:6" x14ac:dyDescent="0.25">
      <c r="A5">
        <v>1</v>
      </c>
      <c r="B5" t="s">
        <v>236</v>
      </c>
      <c r="C5">
        <v>0</v>
      </c>
      <c r="D5">
        <v>0</v>
      </c>
      <c r="E5" t="s">
        <v>214</v>
      </c>
      <c r="F5" t="s">
        <v>234</v>
      </c>
    </row>
    <row r="6" spans="1:6" x14ac:dyDescent="0.25">
      <c r="A6">
        <v>2</v>
      </c>
      <c r="B6" t="s">
        <v>235</v>
      </c>
      <c r="C6">
        <v>0</v>
      </c>
      <c r="D6">
        <v>0</v>
      </c>
      <c r="E6" t="s">
        <v>214</v>
      </c>
      <c r="F6" t="s">
        <v>237</v>
      </c>
    </row>
    <row r="7" spans="1:6" x14ac:dyDescent="0.25">
      <c r="A7">
        <v>2</v>
      </c>
      <c r="B7" t="s">
        <v>236</v>
      </c>
      <c r="C7">
        <v>0</v>
      </c>
      <c r="D7">
        <v>0</v>
      </c>
      <c r="E7" t="s">
        <v>214</v>
      </c>
      <c r="F7" t="s">
        <v>234</v>
      </c>
    </row>
    <row r="8" spans="1:6" x14ac:dyDescent="0.25">
      <c r="A8">
        <v>3</v>
      </c>
      <c r="B8" t="s">
        <v>235</v>
      </c>
      <c r="C8">
        <v>0</v>
      </c>
      <c r="D8">
        <v>0</v>
      </c>
      <c r="E8" t="s">
        <v>214</v>
      </c>
      <c r="F8" t="s">
        <v>237</v>
      </c>
    </row>
    <row r="9" spans="1:6" x14ac:dyDescent="0.25">
      <c r="A9">
        <v>3</v>
      </c>
      <c r="B9" t="s">
        <v>236</v>
      </c>
      <c r="C9">
        <v>0</v>
      </c>
      <c r="D9">
        <v>0</v>
      </c>
      <c r="E9" t="s">
        <v>214</v>
      </c>
      <c r="F9" t="s">
        <v>234</v>
      </c>
    </row>
    <row r="10" spans="1:6" x14ac:dyDescent="0.25">
      <c r="A10">
        <v>4</v>
      </c>
      <c r="B10" t="s">
        <v>235</v>
      </c>
      <c r="C10">
        <v>0</v>
      </c>
      <c r="D10">
        <v>0</v>
      </c>
      <c r="E10" t="s">
        <v>214</v>
      </c>
      <c r="F10" t="s">
        <v>237</v>
      </c>
    </row>
    <row r="11" spans="1:6" x14ac:dyDescent="0.25">
      <c r="A11">
        <v>4</v>
      </c>
      <c r="B11" t="s">
        <v>236</v>
      </c>
      <c r="C11">
        <v>0</v>
      </c>
      <c r="D11">
        <v>0</v>
      </c>
      <c r="E11" t="s">
        <v>214</v>
      </c>
      <c r="F11" t="s">
        <v>234</v>
      </c>
    </row>
    <row r="12" spans="1:6" x14ac:dyDescent="0.25">
      <c r="A12">
        <v>5</v>
      </c>
      <c r="B12" t="s">
        <v>235</v>
      </c>
      <c r="C12">
        <v>0</v>
      </c>
      <c r="D12">
        <v>0</v>
      </c>
      <c r="E12" t="s">
        <v>214</v>
      </c>
      <c r="F12" t="s">
        <v>237</v>
      </c>
    </row>
    <row r="13" spans="1:6" x14ac:dyDescent="0.25">
      <c r="A13">
        <v>5</v>
      </c>
      <c r="B13" t="s">
        <v>236</v>
      </c>
      <c r="C13">
        <v>0</v>
      </c>
      <c r="D13">
        <v>0</v>
      </c>
      <c r="E13" t="s">
        <v>214</v>
      </c>
      <c r="F13" t="s">
        <v>234</v>
      </c>
    </row>
    <row r="14" spans="1:6" x14ac:dyDescent="0.25">
      <c r="A14">
        <v>6</v>
      </c>
      <c r="B14" t="s">
        <v>235</v>
      </c>
      <c r="C14">
        <v>0</v>
      </c>
      <c r="D14">
        <v>0</v>
      </c>
      <c r="E14" t="s">
        <v>214</v>
      </c>
      <c r="F14" t="s">
        <v>237</v>
      </c>
    </row>
    <row r="15" spans="1:6" x14ac:dyDescent="0.25">
      <c r="A15">
        <v>6</v>
      </c>
      <c r="B15" t="s">
        <v>236</v>
      </c>
      <c r="C15">
        <v>0</v>
      </c>
      <c r="D15">
        <v>0</v>
      </c>
      <c r="E15" t="s">
        <v>214</v>
      </c>
      <c r="F15" t="s">
        <v>234</v>
      </c>
    </row>
    <row r="16" spans="1:6" x14ac:dyDescent="0.25">
      <c r="A16">
        <v>7</v>
      </c>
      <c r="B16" t="s">
        <v>235</v>
      </c>
      <c r="C16">
        <v>0</v>
      </c>
      <c r="D16">
        <v>0</v>
      </c>
      <c r="E16" t="s">
        <v>214</v>
      </c>
      <c r="F16" t="s">
        <v>237</v>
      </c>
    </row>
    <row r="17" spans="1:6" x14ac:dyDescent="0.25">
      <c r="A17">
        <v>7</v>
      </c>
      <c r="B17" t="s">
        <v>236</v>
      </c>
      <c r="C17">
        <v>0</v>
      </c>
      <c r="D17">
        <v>0</v>
      </c>
      <c r="E17" t="s">
        <v>214</v>
      </c>
      <c r="F17" t="s">
        <v>234</v>
      </c>
    </row>
    <row r="18" spans="1:6" x14ac:dyDescent="0.25">
      <c r="A18">
        <v>8</v>
      </c>
      <c r="B18" t="s">
        <v>235</v>
      </c>
      <c r="C18">
        <v>0</v>
      </c>
      <c r="D18">
        <v>0</v>
      </c>
      <c r="E18" t="s">
        <v>214</v>
      </c>
      <c r="F18" t="s">
        <v>237</v>
      </c>
    </row>
    <row r="19" spans="1:6" x14ac:dyDescent="0.25">
      <c r="A19">
        <v>8</v>
      </c>
      <c r="B19" t="s">
        <v>236</v>
      </c>
      <c r="C19">
        <v>0</v>
      </c>
      <c r="D19">
        <v>0</v>
      </c>
      <c r="E19" t="s">
        <v>214</v>
      </c>
      <c r="F19" t="s">
        <v>234</v>
      </c>
    </row>
    <row r="20" spans="1:6" x14ac:dyDescent="0.25">
      <c r="A20">
        <v>9</v>
      </c>
      <c r="B20" t="s">
        <v>235</v>
      </c>
      <c r="C20">
        <v>0</v>
      </c>
      <c r="D20">
        <v>0</v>
      </c>
      <c r="E20" t="s">
        <v>214</v>
      </c>
      <c r="F20" t="s">
        <v>237</v>
      </c>
    </row>
    <row r="21" spans="1:6" x14ac:dyDescent="0.25">
      <c r="A21">
        <v>9</v>
      </c>
      <c r="B21" t="s">
        <v>236</v>
      </c>
      <c r="C21">
        <v>0</v>
      </c>
      <c r="D21">
        <v>0</v>
      </c>
      <c r="E21" t="s">
        <v>214</v>
      </c>
      <c r="F21" t="s">
        <v>234</v>
      </c>
    </row>
    <row r="22" spans="1:6" x14ac:dyDescent="0.25">
      <c r="A22">
        <v>10</v>
      </c>
      <c r="B22" t="s">
        <v>235</v>
      </c>
      <c r="C22">
        <v>0</v>
      </c>
      <c r="D22">
        <v>0</v>
      </c>
      <c r="E22" t="s">
        <v>214</v>
      </c>
      <c r="F22" t="s">
        <v>237</v>
      </c>
    </row>
    <row r="23" spans="1:6" x14ac:dyDescent="0.25">
      <c r="A23">
        <v>10</v>
      </c>
      <c r="B23" t="s">
        <v>236</v>
      </c>
      <c r="C23">
        <v>0</v>
      </c>
      <c r="D23">
        <v>0</v>
      </c>
      <c r="E23" t="s">
        <v>214</v>
      </c>
      <c r="F23" t="s">
        <v>234</v>
      </c>
    </row>
    <row r="24" spans="1:6" x14ac:dyDescent="0.25">
      <c r="A24">
        <v>11</v>
      </c>
      <c r="B24" t="s">
        <v>235</v>
      </c>
      <c r="C24">
        <v>0</v>
      </c>
      <c r="D24">
        <v>0</v>
      </c>
      <c r="E24" t="s">
        <v>214</v>
      </c>
      <c r="F24" t="s">
        <v>237</v>
      </c>
    </row>
    <row r="25" spans="1:6" x14ac:dyDescent="0.25">
      <c r="A25">
        <v>11</v>
      </c>
      <c r="B25" t="s">
        <v>236</v>
      </c>
      <c r="C25">
        <v>0</v>
      </c>
      <c r="D25">
        <v>0</v>
      </c>
      <c r="E25" t="s">
        <v>214</v>
      </c>
      <c r="F25" t="s">
        <v>234</v>
      </c>
    </row>
    <row r="26" spans="1:6" x14ac:dyDescent="0.25">
      <c r="A26">
        <v>12</v>
      </c>
      <c r="B26" t="s">
        <v>235</v>
      </c>
      <c r="C26">
        <v>0</v>
      </c>
      <c r="D26">
        <v>0</v>
      </c>
      <c r="E26" t="s">
        <v>214</v>
      </c>
      <c r="F26" t="s">
        <v>237</v>
      </c>
    </row>
    <row r="27" spans="1:6" x14ac:dyDescent="0.25">
      <c r="A27">
        <v>12</v>
      </c>
      <c r="B27" t="s">
        <v>236</v>
      </c>
      <c r="C27">
        <v>0</v>
      </c>
      <c r="D27">
        <v>0</v>
      </c>
      <c r="E27" t="s">
        <v>214</v>
      </c>
      <c r="F27" t="s">
        <v>234</v>
      </c>
    </row>
    <row r="28" spans="1:6" x14ac:dyDescent="0.25">
      <c r="A28">
        <v>13</v>
      </c>
      <c r="B28" t="s">
        <v>235</v>
      </c>
      <c r="C28">
        <v>0</v>
      </c>
      <c r="D28">
        <v>0</v>
      </c>
      <c r="E28" t="s">
        <v>214</v>
      </c>
      <c r="F28" t="s">
        <v>237</v>
      </c>
    </row>
    <row r="29" spans="1:6" x14ac:dyDescent="0.25">
      <c r="A29">
        <v>13</v>
      </c>
      <c r="B29" t="s">
        <v>236</v>
      </c>
      <c r="C29">
        <v>0</v>
      </c>
      <c r="D29">
        <v>0</v>
      </c>
      <c r="E29" t="s">
        <v>214</v>
      </c>
      <c r="F29" t="s">
        <v>234</v>
      </c>
    </row>
    <row r="30" spans="1:6" x14ac:dyDescent="0.25">
      <c r="A30">
        <v>14</v>
      </c>
      <c r="B30" t="s">
        <v>235</v>
      </c>
      <c r="C30">
        <v>0</v>
      </c>
      <c r="D30">
        <v>0</v>
      </c>
      <c r="E30" t="s">
        <v>214</v>
      </c>
      <c r="F30" t="s">
        <v>237</v>
      </c>
    </row>
    <row r="31" spans="1:6" x14ac:dyDescent="0.25">
      <c r="A31">
        <v>14</v>
      </c>
      <c r="B31" t="s">
        <v>236</v>
      </c>
      <c r="C31">
        <v>0</v>
      </c>
      <c r="D31">
        <v>0</v>
      </c>
      <c r="E31" t="s">
        <v>214</v>
      </c>
      <c r="F31" t="s">
        <v>234</v>
      </c>
    </row>
    <row r="32" spans="1:6" x14ac:dyDescent="0.25">
      <c r="A32">
        <v>15</v>
      </c>
      <c r="B32" t="s">
        <v>235</v>
      </c>
      <c r="C32">
        <v>0</v>
      </c>
      <c r="D32">
        <v>0</v>
      </c>
      <c r="E32" t="s">
        <v>214</v>
      </c>
      <c r="F32" t="s">
        <v>237</v>
      </c>
    </row>
    <row r="33" spans="1:6" x14ac:dyDescent="0.25">
      <c r="A33">
        <v>15</v>
      </c>
      <c r="B33" t="s">
        <v>236</v>
      </c>
      <c r="C33">
        <v>0</v>
      </c>
      <c r="D33">
        <v>0</v>
      </c>
      <c r="E33" t="s">
        <v>214</v>
      </c>
      <c r="F33" t="s">
        <v>234</v>
      </c>
    </row>
    <row r="34" spans="1:6" x14ac:dyDescent="0.25">
      <c r="A34">
        <v>16</v>
      </c>
      <c r="B34" t="s">
        <v>235</v>
      </c>
      <c r="C34">
        <v>0</v>
      </c>
      <c r="D34">
        <v>0</v>
      </c>
      <c r="E34" t="s">
        <v>214</v>
      </c>
      <c r="F34" t="s">
        <v>237</v>
      </c>
    </row>
    <row r="35" spans="1:6" x14ac:dyDescent="0.25">
      <c r="A35">
        <v>16</v>
      </c>
      <c r="B35" t="s">
        <v>236</v>
      </c>
      <c r="C35">
        <v>0</v>
      </c>
      <c r="D35">
        <v>0</v>
      </c>
      <c r="E35" t="s">
        <v>214</v>
      </c>
      <c r="F35" t="s">
        <v>234</v>
      </c>
    </row>
    <row r="36" spans="1:6" x14ac:dyDescent="0.25">
      <c r="A36">
        <v>17</v>
      </c>
      <c r="B36" t="s">
        <v>235</v>
      </c>
      <c r="C36">
        <v>0</v>
      </c>
      <c r="D36">
        <v>0</v>
      </c>
      <c r="E36" t="s">
        <v>214</v>
      </c>
      <c r="F36" t="s">
        <v>237</v>
      </c>
    </row>
    <row r="37" spans="1:6" x14ac:dyDescent="0.25">
      <c r="A37">
        <v>17</v>
      </c>
      <c r="B37" t="s">
        <v>236</v>
      </c>
      <c r="C37">
        <v>0</v>
      </c>
      <c r="D37">
        <v>0</v>
      </c>
      <c r="E37" t="s">
        <v>214</v>
      </c>
      <c r="F37" t="s">
        <v>234</v>
      </c>
    </row>
    <row r="38" spans="1:6" x14ac:dyDescent="0.25">
      <c r="A38">
        <v>18</v>
      </c>
      <c r="B38" t="s">
        <v>235</v>
      </c>
      <c r="C38">
        <v>0</v>
      </c>
      <c r="D38">
        <v>0</v>
      </c>
      <c r="E38" t="s">
        <v>214</v>
      </c>
      <c r="F38" t="s">
        <v>237</v>
      </c>
    </row>
    <row r="39" spans="1:6" x14ac:dyDescent="0.25">
      <c r="A39">
        <v>18</v>
      </c>
      <c r="B39" t="s">
        <v>236</v>
      </c>
      <c r="C39">
        <v>0</v>
      </c>
      <c r="D39">
        <v>0</v>
      </c>
      <c r="E39" t="s">
        <v>214</v>
      </c>
      <c r="F39" t="s">
        <v>234</v>
      </c>
    </row>
    <row r="40" spans="1:6" x14ac:dyDescent="0.25">
      <c r="A40">
        <v>19</v>
      </c>
      <c r="B40" t="s">
        <v>235</v>
      </c>
      <c r="C40">
        <v>0</v>
      </c>
      <c r="D40">
        <v>0</v>
      </c>
      <c r="E40" t="s">
        <v>214</v>
      </c>
      <c r="F40" t="s">
        <v>237</v>
      </c>
    </row>
    <row r="41" spans="1:6" x14ac:dyDescent="0.25">
      <c r="A41">
        <v>19</v>
      </c>
      <c r="B41" t="s">
        <v>236</v>
      </c>
      <c r="C41">
        <v>0</v>
      </c>
      <c r="D41">
        <v>0</v>
      </c>
      <c r="E41" t="s">
        <v>214</v>
      </c>
      <c r="F41" t="s">
        <v>234</v>
      </c>
    </row>
    <row r="42" spans="1:6" x14ac:dyDescent="0.25">
      <c r="A42">
        <v>20</v>
      </c>
      <c r="B42" t="s">
        <v>235</v>
      </c>
      <c r="C42">
        <v>0</v>
      </c>
      <c r="D42">
        <v>0</v>
      </c>
      <c r="E42" t="s">
        <v>214</v>
      </c>
      <c r="F42" t="s">
        <v>237</v>
      </c>
    </row>
    <row r="43" spans="1:6" x14ac:dyDescent="0.25">
      <c r="A43">
        <v>20</v>
      </c>
      <c r="B43" t="s">
        <v>236</v>
      </c>
      <c r="C43">
        <v>0</v>
      </c>
      <c r="D43">
        <v>0</v>
      </c>
      <c r="E43" t="s">
        <v>214</v>
      </c>
      <c r="F43" t="s">
        <v>234</v>
      </c>
    </row>
    <row r="44" spans="1:6" x14ac:dyDescent="0.25">
      <c r="A44">
        <v>21</v>
      </c>
      <c r="B44" t="s">
        <v>235</v>
      </c>
      <c r="C44">
        <v>0</v>
      </c>
      <c r="D44">
        <v>0</v>
      </c>
      <c r="E44" t="s">
        <v>214</v>
      </c>
      <c r="F44" t="s">
        <v>237</v>
      </c>
    </row>
    <row r="45" spans="1:6" x14ac:dyDescent="0.25">
      <c r="A45">
        <v>21</v>
      </c>
      <c r="B45" t="s">
        <v>236</v>
      </c>
      <c r="C45">
        <v>0</v>
      </c>
      <c r="D45">
        <v>0</v>
      </c>
      <c r="E45" t="s">
        <v>214</v>
      </c>
      <c r="F45" t="s">
        <v>234</v>
      </c>
    </row>
    <row r="46" spans="1:6" x14ac:dyDescent="0.25">
      <c r="A46">
        <v>22</v>
      </c>
      <c r="B46" t="s">
        <v>235</v>
      </c>
      <c r="C46">
        <v>0</v>
      </c>
      <c r="D46">
        <v>0</v>
      </c>
      <c r="E46" t="s">
        <v>214</v>
      </c>
      <c r="F46" t="s">
        <v>237</v>
      </c>
    </row>
    <row r="47" spans="1:6" x14ac:dyDescent="0.25">
      <c r="A47">
        <v>22</v>
      </c>
      <c r="B47" t="s">
        <v>236</v>
      </c>
      <c r="C47">
        <v>0</v>
      </c>
      <c r="D47">
        <v>0</v>
      </c>
      <c r="E47" t="s">
        <v>214</v>
      </c>
      <c r="F47" t="s">
        <v>234</v>
      </c>
    </row>
    <row r="48" spans="1:6" x14ac:dyDescent="0.25">
      <c r="A48">
        <v>23</v>
      </c>
      <c r="B48" t="s">
        <v>235</v>
      </c>
      <c r="C48">
        <v>0</v>
      </c>
      <c r="D48">
        <v>0</v>
      </c>
      <c r="E48" t="s">
        <v>214</v>
      </c>
      <c r="F48" t="s">
        <v>237</v>
      </c>
    </row>
    <row r="49" spans="1:6" x14ac:dyDescent="0.25">
      <c r="A49">
        <v>23</v>
      </c>
      <c r="B49" t="s">
        <v>236</v>
      </c>
      <c r="C49">
        <v>0</v>
      </c>
      <c r="D49">
        <v>0</v>
      </c>
      <c r="E49" t="s">
        <v>214</v>
      </c>
      <c r="F49" t="s">
        <v>234</v>
      </c>
    </row>
    <row r="50" spans="1:6" x14ac:dyDescent="0.25">
      <c r="A50">
        <v>24</v>
      </c>
      <c r="B50" t="s">
        <v>235</v>
      </c>
      <c r="C50">
        <v>0</v>
      </c>
      <c r="D50">
        <v>0</v>
      </c>
      <c r="E50" t="s">
        <v>214</v>
      </c>
      <c r="F50" t="s">
        <v>237</v>
      </c>
    </row>
    <row r="51" spans="1:6" x14ac:dyDescent="0.25">
      <c r="A51">
        <v>24</v>
      </c>
      <c r="B51" t="s">
        <v>236</v>
      </c>
      <c r="C51">
        <v>0</v>
      </c>
      <c r="D51">
        <v>0</v>
      </c>
      <c r="E51" t="s">
        <v>214</v>
      </c>
      <c r="F51" t="s">
        <v>234</v>
      </c>
    </row>
    <row r="52" spans="1:6" x14ac:dyDescent="0.25">
      <c r="A52">
        <v>25</v>
      </c>
      <c r="B52" t="s">
        <v>235</v>
      </c>
      <c r="C52">
        <v>0</v>
      </c>
      <c r="D52">
        <v>0</v>
      </c>
      <c r="E52" t="s">
        <v>214</v>
      </c>
      <c r="F52" t="s">
        <v>237</v>
      </c>
    </row>
    <row r="53" spans="1:6" x14ac:dyDescent="0.25">
      <c r="A53">
        <v>25</v>
      </c>
      <c r="B53" t="s">
        <v>236</v>
      </c>
      <c r="C53">
        <v>0</v>
      </c>
      <c r="D53">
        <v>0</v>
      </c>
      <c r="E53" t="s">
        <v>214</v>
      </c>
      <c r="F53" t="s">
        <v>234</v>
      </c>
    </row>
    <row r="54" spans="1:6" x14ac:dyDescent="0.25">
      <c r="A54">
        <v>26</v>
      </c>
      <c r="B54" t="s">
        <v>235</v>
      </c>
      <c r="C54">
        <v>0</v>
      </c>
      <c r="D54">
        <v>0</v>
      </c>
      <c r="E54" t="s">
        <v>214</v>
      </c>
      <c r="F54" t="s">
        <v>237</v>
      </c>
    </row>
    <row r="55" spans="1:6" x14ac:dyDescent="0.25">
      <c r="A55">
        <v>26</v>
      </c>
      <c r="B55" t="s">
        <v>236</v>
      </c>
      <c r="C55">
        <v>0</v>
      </c>
      <c r="D55">
        <v>0</v>
      </c>
      <c r="E55" t="s">
        <v>214</v>
      </c>
      <c r="F55" t="s">
        <v>234</v>
      </c>
    </row>
    <row r="56" spans="1:6" x14ac:dyDescent="0.25">
      <c r="A56">
        <v>27</v>
      </c>
      <c r="B56" t="s">
        <v>235</v>
      </c>
      <c r="C56">
        <v>0</v>
      </c>
      <c r="D56">
        <v>0</v>
      </c>
      <c r="E56" t="s">
        <v>214</v>
      </c>
      <c r="F56" t="s">
        <v>237</v>
      </c>
    </row>
    <row r="57" spans="1:6" x14ac:dyDescent="0.25">
      <c r="A57">
        <v>27</v>
      </c>
      <c r="B57" t="s">
        <v>236</v>
      </c>
      <c r="C57">
        <v>0</v>
      </c>
      <c r="D57">
        <v>0</v>
      </c>
      <c r="E57" t="s">
        <v>214</v>
      </c>
      <c r="F57" t="s">
        <v>234</v>
      </c>
    </row>
    <row r="58" spans="1:6" x14ac:dyDescent="0.25">
      <c r="A58">
        <v>28</v>
      </c>
      <c r="B58" t="s">
        <v>235</v>
      </c>
      <c r="C58">
        <v>273.82</v>
      </c>
      <c r="D58">
        <v>273.82</v>
      </c>
      <c r="E58" t="s">
        <v>214</v>
      </c>
      <c r="F58" t="s">
        <v>234</v>
      </c>
    </row>
    <row r="59" spans="1:6" x14ac:dyDescent="0.25">
      <c r="A59">
        <v>28</v>
      </c>
      <c r="B59" t="s">
        <v>236</v>
      </c>
      <c r="C59">
        <v>2120.64</v>
      </c>
      <c r="D59">
        <v>2120.64</v>
      </c>
      <c r="E59" t="s">
        <v>214</v>
      </c>
      <c r="F59" t="s">
        <v>234</v>
      </c>
    </row>
    <row r="60" spans="1:6" x14ac:dyDescent="0.25">
      <c r="A60">
        <v>29</v>
      </c>
      <c r="B60" t="s">
        <v>235</v>
      </c>
      <c r="C60">
        <v>0</v>
      </c>
      <c r="D60">
        <v>0</v>
      </c>
      <c r="E60" t="s">
        <v>214</v>
      </c>
      <c r="F60" t="s">
        <v>237</v>
      </c>
    </row>
    <row r="61" spans="1:6" x14ac:dyDescent="0.25">
      <c r="A61">
        <v>29</v>
      </c>
      <c r="B61" t="s">
        <v>236</v>
      </c>
      <c r="C61">
        <v>0</v>
      </c>
      <c r="D61">
        <v>0</v>
      </c>
      <c r="E61" t="s">
        <v>214</v>
      </c>
      <c r="F61" t="s">
        <v>234</v>
      </c>
    </row>
    <row r="62" spans="1:6" x14ac:dyDescent="0.25">
      <c r="A62">
        <v>30</v>
      </c>
      <c r="B62" t="s">
        <v>235</v>
      </c>
      <c r="C62">
        <v>0</v>
      </c>
      <c r="D62">
        <v>0</v>
      </c>
      <c r="E62" t="s">
        <v>214</v>
      </c>
      <c r="F62" t="s">
        <v>237</v>
      </c>
    </row>
    <row r="63" spans="1:6" x14ac:dyDescent="0.25">
      <c r="A63">
        <v>30</v>
      </c>
      <c r="B63" t="s">
        <v>236</v>
      </c>
      <c r="C63">
        <v>0</v>
      </c>
      <c r="D63">
        <v>0</v>
      </c>
      <c r="E63" t="s">
        <v>214</v>
      </c>
      <c r="F63" t="s">
        <v>234</v>
      </c>
    </row>
    <row r="64" spans="1:6" x14ac:dyDescent="0.25">
      <c r="A64">
        <v>31</v>
      </c>
      <c r="B64" t="s">
        <v>235</v>
      </c>
      <c r="C64">
        <v>170.38</v>
      </c>
      <c r="D64">
        <v>170.38</v>
      </c>
      <c r="E64" t="s">
        <v>214</v>
      </c>
      <c r="F64" t="s">
        <v>234</v>
      </c>
    </row>
    <row r="65" spans="1:6" x14ac:dyDescent="0.25">
      <c r="A65">
        <v>31</v>
      </c>
      <c r="B65" t="s">
        <v>236</v>
      </c>
      <c r="C65">
        <v>4241.28</v>
      </c>
      <c r="D65">
        <v>4241.28</v>
      </c>
      <c r="E65" t="s">
        <v>214</v>
      </c>
      <c r="F65" t="s">
        <v>234</v>
      </c>
    </row>
    <row r="66" spans="1:6" x14ac:dyDescent="0.25">
      <c r="A66">
        <v>32</v>
      </c>
      <c r="B66" t="s">
        <v>235</v>
      </c>
      <c r="C66">
        <v>0</v>
      </c>
      <c r="D66">
        <v>0</v>
      </c>
      <c r="E66" t="s">
        <v>214</v>
      </c>
      <c r="F66" t="s">
        <v>237</v>
      </c>
    </row>
    <row r="67" spans="1:6" x14ac:dyDescent="0.25">
      <c r="A67">
        <v>32</v>
      </c>
      <c r="B67" t="s">
        <v>236</v>
      </c>
      <c r="C67">
        <v>0</v>
      </c>
      <c r="D67">
        <v>0</v>
      </c>
      <c r="E67" t="s">
        <v>214</v>
      </c>
      <c r="F67" t="s">
        <v>234</v>
      </c>
    </row>
    <row r="68" spans="1:6" x14ac:dyDescent="0.25">
      <c r="A68">
        <v>33</v>
      </c>
      <c r="B68" t="s">
        <v>235</v>
      </c>
      <c r="C68">
        <v>91.95</v>
      </c>
      <c r="D68">
        <v>91.95</v>
      </c>
      <c r="E68" t="s">
        <v>214</v>
      </c>
      <c r="F68" t="s">
        <v>234</v>
      </c>
    </row>
    <row r="69" spans="1:6" x14ac:dyDescent="0.25">
      <c r="A69">
        <v>33</v>
      </c>
      <c r="B69" t="s">
        <v>236</v>
      </c>
      <c r="C69">
        <v>4241.28</v>
      </c>
      <c r="D69">
        <v>4241.28</v>
      </c>
      <c r="E69" t="s">
        <v>214</v>
      </c>
      <c r="F69" t="s">
        <v>234</v>
      </c>
    </row>
    <row r="70" spans="1:6" x14ac:dyDescent="0.25">
      <c r="A70">
        <v>34</v>
      </c>
      <c r="B70" t="s">
        <v>235</v>
      </c>
      <c r="C70">
        <v>0</v>
      </c>
      <c r="D70">
        <v>0</v>
      </c>
      <c r="E70" t="s">
        <v>214</v>
      </c>
      <c r="F70" t="s">
        <v>237</v>
      </c>
    </row>
    <row r="71" spans="1:6" x14ac:dyDescent="0.25">
      <c r="A71">
        <v>34</v>
      </c>
      <c r="B71" t="s">
        <v>236</v>
      </c>
      <c r="C71">
        <v>0</v>
      </c>
      <c r="D71">
        <v>0</v>
      </c>
      <c r="E71" t="s">
        <v>214</v>
      </c>
      <c r="F71" t="s">
        <v>234</v>
      </c>
    </row>
    <row r="72" spans="1:6" x14ac:dyDescent="0.25">
      <c r="A72">
        <v>35</v>
      </c>
      <c r="B72" t="s">
        <v>235</v>
      </c>
      <c r="C72">
        <v>0</v>
      </c>
      <c r="D72">
        <v>0</v>
      </c>
      <c r="E72" t="s">
        <v>214</v>
      </c>
      <c r="F72" t="s">
        <v>237</v>
      </c>
    </row>
    <row r="73" spans="1:6" x14ac:dyDescent="0.25">
      <c r="A73">
        <v>35</v>
      </c>
      <c r="B73" t="s">
        <v>236</v>
      </c>
      <c r="C73">
        <v>0</v>
      </c>
      <c r="D73">
        <v>0</v>
      </c>
      <c r="E73" t="s">
        <v>214</v>
      </c>
      <c r="F73" t="s">
        <v>234</v>
      </c>
    </row>
    <row r="74" spans="1:6" x14ac:dyDescent="0.25">
      <c r="A74">
        <v>36</v>
      </c>
      <c r="B74" t="s">
        <v>235</v>
      </c>
      <c r="C74">
        <v>0</v>
      </c>
      <c r="D74">
        <v>0</v>
      </c>
      <c r="E74" t="s">
        <v>214</v>
      </c>
      <c r="F74" t="s">
        <v>237</v>
      </c>
    </row>
    <row r="75" spans="1:6" x14ac:dyDescent="0.25">
      <c r="A75">
        <v>36</v>
      </c>
      <c r="B75" t="s">
        <v>236</v>
      </c>
      <c r="C75">
        <v>0</v>
      </c>
      <c r="D75">
        <v>0</v>
      </c>
      <c r="E75" t="s">
        <v>214</v>
      </c>
      <c r="F75" t="s">
        <v>234</v>
      </c>
    </row>
    <row r="76" spans="1:6" x14ac:dyDescent="0.25">
      <c r="A76">
        <v>37</v>
      </c>
      <c r="B76" t="s">
        <v>235</v>
      </c>
      <c r="C76">
        <v>0</v>
      </c>
      <c r="D76">
        <v>0</v>
      </c>
      <c r="E76" t="s">
        <v>214</v>
      </c>
      <c r="F76" t="s">
        <v>237</v>
      </c>
    </row>
    <row r="77" spans="1:6" x14ac:dyDescent="0.25">
      <c r="A77">
        <v>37</v>
      </c>
      <c r="B77" t="s">
        <v>236</v>
      </c>
      <c r="C77">
        <v>0</v>
      </c>
      <c r="D77">
        <v>0</v>
      </c>
      <c r="E77" t="s">
        <v>214</v>
      </c>
      <c r="F77" t="s">
        <v>234</v>
      </c>
    </row>
    <row r="78" spans="1:6" x14ac:dyDescent="0.25">
      <c r="A78">
        <v>38</v>
      </c>
      <c r="B78" t="s">
        <v>235</v>
      </c>
      <c r="C78">
        <v>0</v>
      </c>
      <c r="D78">
        <v>0</v>
      </c>
      <c r="E78" t="s">
        <v>214</v>
      </c>
      <c r="F78" t="s">
        <v>237</v>
      </c>
    </row>
    <row r="79" spans="1:6" x14ac:dyDescent="0.25">
      <c r="A79">
        <v>38</v>
      </c>
      <c r="B79" t="s">
        <v>236</v>
      </c>
      <c r="C79">
        <v>0</v>
      </c>
      <c r="D79">
        <v>0</v>
      </c>
      <c r="E79" t="s">
        <v>214</v>
      </c>
      <c r="F79" t="s">
        <v>234</v>
      </c>
    </row>
    <row r="80" spans="1:6" x14ac:dyDescent="0.25">
      <c r="A80">
        <v>39</v>
      </c>
      <c r="B80" t="s">
        <v>235</v>
      </c>
      <c r="C80">
        <v>0</v>
      </c>
      <c r="D80">
        <v>0</v>
      </c>
      <c r="E80" t="s">
        <v>214</v>
      </c>
      <c r="F80" t="s">
        <v>237</v>
      </c>
    </row>
    <row r="81" spans="1:6" x14ac:dyDescent="0.25">
      <c r="A81">
        <v>39</v>
      </c>
      <c r="B81" t="s">
        <v>236</v>
      </c>
      <c r="C81">
        <v>0</v>
      </c>
      <c r="D81">
        <v>0</v>
      </c>
      <c r="E81" t="s">
        <v>214</v>
      </c>
      <c r="F81" t="s">
        <v>234</v>
      </c>
    </row>
    <row r="82" spans="1:6" x14ac:dyDescent="0.25">
      <c r="A82">
        <v>40</v>
      </c>
      <c r="B82" t="s">
        <v>235</v>
      </c>
      <c r="C82">
        <v>0</v>
      </c>
      <c r="D82">
        <v>0</v>
      </c>
      <c r="E82" t="s">
        <v>214</v>
      </c>
      <c r="F82" t="s">
        <v>237</v>
      </c>
    </row>
    <row r="83" spans="1:6" x14ac:dyDescent="0.25">
      <c r="A83">
        <v>40</v>
      </c>
      <c r="B83" t="s">
        <v>236</v>
      </c>
      <c r="C83">
        <v>0</v>
      </c>
      <c r="D83">
        <v>0</v>
      </c>
      <c r="E83" t="s">
        <v>214</v>
      </c>
      <c r="F83" t="s">
        <v>234</v>
      </c>
    </row>
    <row r="84" spans="1:6" x14ac:dyDescent="0.25">
      <c r="A84">
        <v>41</v>
      </c>
      <c r="B84" t="s">
        <v>235</v>
      </c>
      <c r="C84">
        <v>0</v>
      </c>
      <c r="D84">
        <v>0</v>
      </c>
      <c r="E84" t="s">
        <v>214</v>
      </c>
      <c r="F84" t="s">
        <v>237</v>
      </c>
    </row>
    <row r="85" spans="1:6" x14ac:dyDescent="0.25">
      <c r="A85">
        <v>41</v>
      </c>
      <c r="B85" t="s">
        <v>236</v>
      </c>
      <c r="C85">
        <v>0</v>
      </c>
      <c r="D85">
        <v>0</v>
      </c>
      <c r="E85" t="s">
        <v>214</v>
      </c>
      <c r="F85" t="s">
        <v>234</v>
      </c>
    </row>
    <row r="86" spans="1:6" x14ac:dyDescent="0.25">
      <c r="A86">
        <v>42</v>
      </c>
      <c r="B86" t="s">
        <v>235</v>
      </c>
      <c r="C86">
        <v>0</v>
      </c>
      <c r="D86">
        <v>0</v>
      </c>
      <c r="E86" t="s">
        <v>214</v>
      </c>
      <c r="F86" t="s">
        <v>237</v>
      </c>
    </row>
    <row r="87" spans="1:6" x14ac:dyDescent="0.25">
      <c r="A87">
        <v>42</v>
      </c>
      <c r="B87" t="s">
        <v>236</v>
      </c>
      <c r="C87">
        <v>0</v>
      </c>
      <c r="D87">
        <v>0</v>
      </c>
      <c r="E87" t="s">
        <v>214</v>
      </c>
      <c r="F87" t="s">
        <v>234</v>
      </c>
    </row>
    <row r="88" spans="1:6" x14ac:dyDescent="0.25">
      <c r="A88">
        <v>43</v>
      </c>
      <c r="B88" t="s">
        <v>235</v>
      </c>
      <c r="C88">
        <v>0</v>
      </c>
      <c r="D88">
        <v>0</v>
      </c>
      <c r="E88" t="s">
        <v>214</v>
      </c>
      <c r="F88" t="s">
        <v>237</v>
      </c>
    </row>
    <row r="89" spans="1:6" x14ac:dyDescent="0.25">
      <c r="A89">
        <v>43</v>
      </c>
      <c r="B89" t="s">
        <v>236</v>
      </c>
      <c r="C89">
        <v>0</v>
      </c>
      <c r="D89">
        <v>0</v>
      </c>
      <c r="E89" t="s">
        <v>214</v>
      </c>
      <c r="F89" t="s">
        <v>234</v>
      </c>
    </row>
    <row r="90" spans="1:6" x14ac:dyDescent="0.25">
      <c r="A90">
        <v>44</v>
      </c>
      <c r="B90" t="s">
        <v>235</v>
      </c>
      <c r="C90">
        <v>0</v>
      </c>
      <c r="D90">
        <v>0</v>
      </c>
      <c r="E90" t="s">
        <v>214</v>
      </c>
      <c r="F90" t="s">
        <v>237</v>
      </c>
    </row>
    <row r="91" spans="1:6" x14ac:dyDescent="0.25">
      <c r="A91">
        <v>44</v>
      </c>
      <c r="B91" t="s">
        <v>236</v>
      </c>
      <c r="C91">
        <v>0</v>
      </c>
      <c r="D91">
        <v>0</v>
      </c>
      <c r="E91" t="s">
        <v>214</v>
      </c>
      <c r="F91" t="s">
        <v>234</v>
      </c>
    </row>
    <row r="92" spans="1:6" x14ac:dyDescent="0.25">
      <c r="A92">
        <v>45</v>
      </c>
      <c r="B92" t="s">
        <v>235</v>
      </c>
      <c r="C92">
        <v>232.28</v>
      </c>
      <c r="D92">
        <v>232.28</v>
      </c>
      <c r="E92" t="s">
        <v>214</v>
      </c>
      <c r="F92" t="s">
        <v>234</v>
      </c>
    </row>
    <row r="93" spans="1:6" x14ac:dyDescent="0.25">
      <c r="A93">
        <v>45</v>
      </c>
      <c r="B93" t="s">
        <v>236</v>
      </c>
      <c r="C93">
        <v>0</v>
      </c>
      <c r="D93">
        <v>0</v>
      </c>
      <c r="E93" t="s">
        <v>214</v>
      </c>
      <c r="F93" t="s">
        <v>234</v>
      </c>
    </row>
    <row r="94" spans="1:6" x14ac:dyDescent="0.25">
      <c r="A94">
        <v>46</v>
      </c>
      <c r="B94" t="s">
        <v>235</v>
      </c>
      <c r="C94">
        <v>0</v>
      </c>
      <c r="D94">
        <v>0</v>
      </c>
      <c r="E94" t="s">
        <v>214</v>
      </c>
      <c r="F94" t="s">
        <v>237</v>
      </c>
    </row>
    <row r="95" spans="1:6" x14ac:dyDescent="0.25">
      <c r="A95">
        <v>46</v>
      </c>
      <c r="B95" t="s">
        <v>236</v>
      </c>
      <c r="C95">
        <v>0</v>
      </c>
      <c r="D95">
        <v>0</v>
      </c>
      <c r="E95" t="s">
        <v>214</v>
      </c>
      <c r="F95" t="s">
        <v>234</v>
      </c>
    </row>
    <row r="96" spans="1:6" x14ac:dyDescent="0.25">
      <c r="A96">
        <v>47</v>
      </c>
      <c r="B96" t="s">
        <v>235</v>
      </c>
      <c r="C96">
        <v>0</v>
      </c>
      <c r="D96">
        <v>0</v>
      </c>
      <c r="E96" t="s">
        <v>214</v>
      </c>
      <c r="F96" t="s">
        <v>237</v>
      </c>
    </row>
    <row r="97" spans="1:6" x14ac:dyDescent="0.25">
      <c r="A97">
        <v>47</v>
      </c>
      <c r="B97" t="s">
        <v>236</v>
      </c>
      <c r="C97">
        <v>0</v>
      </c>
      <c r="D97">
        <v>0</v>
      </c>
      <c r="E97" t="s">
        <v>214</v>
      </c>
      <c r="F97" t="s">
        <v>234</v>
      </c>
    </row>
    <row r="98" spans="1:6" x14ac:dyDescent="0.25">
      <c r="A98">
        <v>48</v>
      </c>
      <c r="B98" t="s">
        <v>235</v>
      </c>
      <c r="C98" s="4">
        <v>1483.56</v>
      </c>
      <c r="D98" s="4">
        <v>1483.56</v>
      </c>
      <c r="E98" t="s">
        <v>214</v>
      </c>
      <c r="F98" t="s">
        <v>237</v>
      </c>
    </row>
    <row r="99" spans="1:6" x14ac:dyDescent="0.25">
      <c r="A99">
        <v>48</v>
      </c>
      <c r="B99" t="s">
        <v>236</v>
      </c>
      <c r="C99" s="4">
        <v>2120.64</v>
      </c>
      <c r="D99" s="4">
        <v>2120.64</v>
      </c>
      <c r="E99" t="s">
        <v>214</v>
      </c>
      <c r="F99" t="s">
        <v>234</v>
      </c>
    </row>
    <row r="100" spans="1:6" x14ac:dyDescent="0.25">
      <c r="A100">
        <v>49</v>
      </c>
      <c r="B100" t="s">
        <v>235</v>
      </c>
      <c r="C100" s="4">
        <v>1892.78</v>
      </c>
      <c r="D100" s="4">
        <v>1892.78</v>
      </c>
      <c r="E100" t="s">
        <v>214</v>
      </c>
      <c r="F100" t="s">
        <v>237</v>
      </c>
    </row>
    <row r="101" spans="1:6" x14ac:dyDescent="0.25">
      <c r="A101">
        <v>49</v>
      </c>
      <c r="B101" t="s">
        <v>236</v>
      </c>
      <c r="C101" s="4">
        <v>2120.64</v>
      </c>
      <c r="D101" s="4">
        <v>2120.64</v>
      </c>
      <c r="E101" t="s">
        <v>214</v>
      </c>
      <c r="F101" t="s">
        <v>234</v>
      </c>
    </row>
    <row r="102" spans="1:6" x14ac:dyDescent="0.25">
      <c r="A102">
        <v>50</v>
      </c>
      <c r="B102" t="s">
        <v>235</v>
      </c>
      <c r="C102">
        <v>0</v>
      </c>
      <c r="D102">
        <v>0</v>
      </c>
      <c r="E102" t="s">
        <v>214</v>
      </c>
      <c r="F102" t="s">
        <v>237</v>
      </c>
    </row>
    <row r="103" spans="1:6" x14ac:dyDescent="0.25">
      <c r="A103">
        <v>50</v>
      </c>
      <c r="B103" t="s">
        <v>236</v>
      </c>
      <c r="C103">
        <v>0</v>
      </c>
      <c r="D103">
        <v>0</v>
      </c>
      <c r="E103" t="s">
        <v>214</v>
      </c>
      <c r="F103" t="s">
        <v>234</v>
      </c>
    </row>
    <row r="104" spans="1:6" x14ac:dyDescent="0.25">
      <c r="A104">
        <v>51</v>
      </c>
      <c r="B104" t="s">
        <v>235</v>
      </c>
      <c r="C104">
        <v>0</v>
      </c>
      <c r="D104">
        <v>0</v>
      </c>
      <c r="E104" t="s">
        <v>214</v>
      </c>
      <c r="F104" t="s">
        <v>237</v>
      </c>
    </row>
    <row r="105" spans="1:6" x14ac:dyDescent="0.25">
      <c r="A105">
        <v>51</v>
      </c>
      <c r="B105" t="s">
        <v>236</v>
      </c>
      <c r="C105">
        <v>0</v>
      </c>
      <c r="D105">
        <v>0</v>
      </c>
      <c r="E105" t="s">
        <v>214</v>
      </c>
      <c r="F105" t="s">
        <v>234</v>
      </c>
    </row>
    <row r="106" spans="1:6" x14ac:dyDescent="0.25">
      <c r="A106">
        <v>52</v>
      </c>
      <c r="B106" t="s">
        <v>235</v>
      </c>
      <c r="C106">
        <v>0</v>
      </c>
      <c r="D106">
        <v>0</v>
      </c>
      <c r="E106" t="s">
        <v>214</v>
      </c>
      <c r="F106" t="s">
        <v>237</v>
      </c>
    </row>
    <row r="107" spans="1:6" x14ac:dyDescent="0.25">
      <c r="A107">
        <v>52</v>
      </c>
      <c r="B107" t="s">
        <v>236</v>
      </c>
      <c r="C107">
        <v>0</v>
      </c>
      <c r="D107">
        <v>0</v>
      </c>
      <c r="E107" t="s">
        <v>214</v>
      </c>
      <c r="F107" t="s">
        <v>234</v>
      </c>
    </row>
    <row r="108" spans="1:6" x14ac:dyDescent="0.25">
      <c r="A108">
        <v>53</v>
      </c>
      <c r="B108" t="s">
        <v>235</v>
      </c>
      <c r="C108">
        <v>0</v>
      </c>
      <c r="D108">
        <v>0</v>
      </c>
      <c r="E108" t="s">
        <v>214</v>
      </c>
      <c r="F108" t="s">
        <v>237</v>
      </c>
    </row>
    <row r="109" spans="1:6" x14ac:dyDescent="0.25">
      <c r="A109">
        <v>53</v>
      </c>
      <c r="B109" t="s">
        <v>236</v>
      </c>
      <c r="C109">
        <v>0</v>
      </c>
      <c r="D109">
        <v>0</v>
      </c>
      <c r="E109" t="s">
        <v>214</v>
      </c>
      <c r="F109" t="s">
        <v>234</v>
      </c>
    </row>
    <row r="110" spans="1:6" x14ac:dyDescent="0.25">
      <c r="A110">
        <v>54</v>
      </c>
      <c r="B110" t="s">
        <v>235</v>
      </c>
      <c r="C110">
        <v>420</v>
      </c>
      <c r="D110">
        <v>420</v>
      </c>
      <c r="E110" t="s">
        <v>214</v>
      </c>
      <c r="F110" t="s">
        <v>234</v>
      </c>
    </row>
    <row r="111" spans="1:6" x14ac:dyDescent="0.25">
      <c r="A111">
        <v>54</v>
      </c>
      <c r="B111" t="s">
        <v>236</v>
      </c>
      <c r="C111">
        <v>530.16</v>
      </c>
      <c r="D111">
        <v>530.16</v>
      </c>
      <c r="E111" t="s">
        <v>214</v>
      </c>
      <c r="F111" t="s">
        <v>234</v>
      </c>
    </row>
    <row r="112" spans="1:6" x14ac:dyDescent="0.25">
      <c r="A112">
        <v>55</v>
      </c>
      <c r="B112" t="s">
        <v>235</v>
      </c>
      <c r="C112">
        <v>212.5</v>
      </c>
      <c r="D112">
        <v>212.5</v>
      </c>
      <c r="E112" t="s">
        <v>214</v>
      </c>
      <c r="F112" t="s">
        <v>234</v>
      </c>
    </row>
    <row r="113" spans="1:6" x14ac:dyDescent="0.25">
      <c r="A113">
        <v>55</v>
      </c>
      <c r="B113" t="s">
        <v>236</v>
      </c>
      <c r="C113">
        <v>2120.64</v>
      </c>
      <c r="D113">
        <v>2120.64</v>
      </c>
      <c r="E113" t="s">
        <v>214</v>
      </c>
      <c r="F113" t="s">
        <v>234</v>
      </c>
    </row>
    <row r="114" spans="1:6" x14ac:dyDescent="0.25">
      <c r="A114">
        <v>56</v>
      </c>
      <c r="B114" t="s">
        <v>235</v>
      </c>
      <c r="C114">
        <v>0</v>
      </c>
      <c r="D114">
        <v>0</v>
      </c>
      <c r="E114" t="s">
        <v>214</v>
      </c>
      <c r="F114" t="s">
        <v>237</v>
      </c>
    </row>
    <row r="115" spans="1:6" x14ac:dyDescent="0.25">
      <c r="A115">
        <v>56</v>
      </c>
      <c r="B115" t="s">
        <v>236</v>
      </c>
      <c r="C115">
        <v>0</v>
      </c>
      <c r="D115">
        <v>0</v>
      </c>
      <c r="E115" t="s">
        <v>214</v>
      </c>
      <c r="F115" t="s">
        <v>234</v>
      </c>
    </row>
    <row r="116" spans="1:6" x14ac:dyDescent="0.25">
      <c r="A116">
        <v>57</v>
      </c>
      <c r="B116" t="s">
        <v>235</v>
      </c>
      <c r="C116">
        <v>0</v>
      </c>
      <c r="D116">
        <v>0</v>
      </c>
      <c r="E116" t="s">
        <v>214</v>
      </c>
      <c r="F116" t="s">
        <v>237</v>
      </c>
    </row>
    <row r="117" spans="1:6" x14ac:dyDescent="0.25">
      <c r="A117">
        <v>57</v>
      </c>
      <c r="B117" t="s">
        <v>236</v>
      </c>
      <c r="C117">
        <v>0</v>
      </c>
      <c r="D117">
        <v>0</v>
      </c>
      <c r="E117" t="s">
        <v>214</v>
      </c>
      <c r="F117" t="s">
        <v>234</v>
      </c>
    </row>
    <row r="118" spans="1:6" x14ac:dyDescent="0.25">
      <c r="A118">
        <v>58</v>
      </c>
      <c r="B118" t="s">
        <v>235</v>
      </c>
      <c r="C118">
        <v>0</v>
      </c>
      <c r="D118">
        <v>0</v>
      </c>
      <c r="E118" t="s">
        <v>214</v>
      </c>
      <c r="F118" t="s">
        <v>237</v>
      </c>
    </row>
    <row r="119" spans="1:6" x14ac:dyDescent="0.25">
      <c r="A119">
        <v>58</v>
      </c>
      <c r="B119" t="s">
        <v>236</v>
      </c>
      <c r="C119">
        <v>0</v>
      </c>
      <c r="D119">
        <v>0</v>
      </c>
      <c r="E119" t="s">
        <v>214</v>
      </c>
      <c r="F119" t="s">
        <v>234</v>
      </c>
    </row>
    <row r="120" spans="1:6" x14ac:dyDescent="0.25">
      <c r="A120">
        <v>59</v>
      </c>
      <c r="B120" t="s">
        <v>235</v>
      </c>
      <c r="C120">
        <v>0</v>
      </c>
      <c r="D120">
        <v>0</v>
      </c>
      <c r="E120" t="s">
        <v>214</v>
      </c>
      <c r="F120" t="s">
        <v>237</v>
      </c>
    </row>
    <row r="121" spans="1:6" x14ac:dyDescent="0.25">
      <c r="A121">
        <v>59</v>
      </c>
      <c r="B121" t="s">
        <v>236</v>
      </c>
      <c r="C121">
        <v>0</v>
      </c>
      <c r="D121">
        <v>0</v>
      </c>
      <c r="E121" t="s">
        <v>214</v>
      </c>
      <c r="F121" t="s">
        <v>234</v>
      </c>
    </row>
    <row r="122" spans="1:6" s="12" customFormat="1" x14ac:dyDescent="0.25">
      <c r="A122" s="4">
        <v>60</v>
      </c>
      <c r="B122" s="8" t="s">
        <v>235</v>
      </c>
      <c r="C122" s="8">
        <v>254.68</v>
      </c>
      <c r="D122" s="8">
        <v>254.68</v>
      </c>
      <c r="E122" s="4" t="s">
        <v>214</v>
      </c>
      <c r="F122" s="4" t="s">
        <v>237</v>
      </c>
    </row>
    <row r="123" spans="1:6" s="12" customFormat="1" x14ac:dyDescent="0.25">
      <c r="A123" s="4">
        <v>60</v>
      </c>
      <c r="B123" s="4" t="s">
        <v>236</v>
      </c>
      <c r="C123" s="4">
        <v>353.44</v>
      </c>
      <c r="D123" s="4">
        <v>353.44</v>
      </c>
      <c r="E123" s="4" t="s">
        <v>214</v>
      </c>
      <c r="F123" s="4" t="s">
        <v>234</v>
      </c>
    </row>
    <row r="124" spans="1:6" s="12" customFormat="1" x14ac:dyDescent="0.25">
      <c r="A124" s="4">
        <v>61</v>
      </c>
      <c r="B124" s="4" t="s">
        <v>235</v>
      </c>
      <c r="C124" s="4">
        <v>0</v>
      </c>
      <c r="D124" s="4">
        <v>0</v>
      </c>
      <c r="E124" s="4" t="s">
        <v>214</v>
      </c>
      <c r="F124" s="4" t="s">
        <v>234</v>
      </c>
    </row>
    <row r="125" spans="1:6" s="12" customFormat="1" x14ac:dyDescent="0.25">
      <c r="A125" s="4">
        <v>61</v>
      </c>
      <c r="B125" s="4" t="s">
        <v>236</v>
      </c>
      <c r="C125" s="4">
        <v>0</v>
      </c>
      <c r="D125" s="4">
        <v>0</v>
      </c>
      <c r="E125" s="4" t="s">
        <v>214</v>
      </c>
      <c r="F125" s="4" t="s">
        <v>234</v>
      </c>
    </row>
    <row r="126" spans="1:6" s="12" customFormat="1" x14ac:dyDescent="0.25">
      <c r="A126" s="4">
        <v>62</v>
      </c>
      <c r="B126" s="4" t="s">
        <v>235</v>
      </c>
      <c r="C126" s="4">
        <v>0</v>
      </c>
      <c r="D126" s="4">
        <v>0</v>
      </c>
      <c r="E126" s="4" t="s">
        <v>214</v>
      </c>
      <c r="F126" s="4" t="s">
        <v>234</v>
      </c>
    </row>
    <row r="127" spans="1:6" s="12" customFormat="1" x14ac:dyDescent="0.25">
      <c r="A127" s="4">
        <v>62</v>
      </c>
      <c r="B127" s="4" t="s">
        <v>236</v>
      </c>
      <c r="C127" s="4">
        <v>0</v>
      </c>
      <c r="D127" s="4">
        <v>0</v>
      </c>
      <c r="E127" s="4" t="s">
        <v>214</v>
      </c>
      <c r="F127" s="4" t="s">
        <v>234</v>
      </c>
    </row>
    <row r="128" spans="1:6" s="12" customFormat="1" x14ac:dyDescent="0.25">
      <c r="A128" s="4">
        <v>63</v>
      </c>
      <c r="B128" s="4" t="s">
        <v>235</v>
      </c>
      <c r="C128" s="4">
        <v>0</v>
      </c>
      <c r="D128" s="4">
        <v>0</v>
      </c>
      <c r="E128" s="4" t="s">
        <v>214</v>
      </c>
      <c r="F128" s="4" t="s">
        <v>237</v>
      </c>
    </row>
    <row r="129" spans="1:6" s="12" customFormat="1" x14ac:dyDescent="0.25">
      <c r="A129" s="4">
        <v>63</v>
      </c>
      <c r="B129" s="4" t="s">
        <v>236</v>
      </c>
      <c r="C129" s="4">
        <v>0</v>
      </c>
      <c r="D129" s="4">
        <v>0</v>
      </c>
      <c r="E129" s="4" t="s">
        <v>214</v>
      </c>
      <c r="F129" s="4" t="s">
        <v>234</v>
      </c>
    </row>
    <row r="130" spans="1:6" s="12" customFormat="1" x14ac:dyDescent="0.25">
      <c r="A130" s="4">
        <v>64</v>
      </c>
      <c r="B130" s="4" t="s">
        <v>235</v>
      </c>
      <c r="C130" s="4">
        <v>0</v>
      </c>
      <c r="D130" s="4">
        <v>0</v>
      </c>
      <c r="E130" s="4" t="s">
        <v>214</v>
      </c>
      <c r="F130" s="4" t="s">
        <v>237</v>
      </c>
    </row>
    <row r="131" spans="1:6" s="12" customFormat="1" x14ac:dyDescent="0.25">
      <c r="A131" s="4">
        <v>64</v>
      </c>
      <c r="B131" s="4" t="s">
        <v>236</v>
      </c>
      <c r="C131" s="4">
        <v>0</v>
      </c>
      <c r="D131" s="4">
        <v>0</v>
      </c>
      <c r="E131" s="4" t="s">
        <v>214</v>
      </c>
      <c r="F131" s="4" t="s">
        <v>234</v>
      </c>
    </row>
    <row r="132" spans="1:6" s="12" customFormat="1" x14ac:dyDescent="0.25">
      <c r="A132" s="4">
        <v>65</v>
      </c>
      <c r="B132" s="4" t="s">
        <v>235</v>
      </c>
      <c r="C132" s="4">
        <v>2323.4699999999998</v>
      </c>
      <c r="D132" s="4">
        <v>2323.4699999999998</v>
      </c>
      <c r="E132" s="4" t="s">
        <v>214</v>
      </c>
      <c r="F132" s="4" t="s">
        <v>237</v>
      </c>
    </row>
    <row r="133" spans="1:6" s="12" customFormat="1" x14ac:dyDescent="0.25">
      <c r="A133" s="4">
        <v>65</v>
      </c>
      <c r="B133" s="4" t="s">
        <v>236</v>
      </c>
      <c r="C133" s="4">
        <v>12723.84</v>
      </c>
      <c r="D133" s="4">
        <v>12723.84</v>
      </c>
      <c r="E133" s="4" t="s">
        <v>214</v>
      </c>
      <c r="F133" s="4" t="s">
        <v>234</v>
      </c>
    </row>
    <row r="134" spans="1:6" s="12" customFormat="1" x14ac:dyDescent="0.25">
      <c r="A134" s="4">
        <v>66</v>
      </c>
      <c r="B134" s="4" t="s">
        <v>235</v>
      </c>
      <c r="C134" s="4">
        <v>0</v>
      </c>
      <c r="D134" s="4">
        <v>0</v>
      </c>
      <c r="E134" s="4" t="s">
        <v>214</v>
      </c>
      <c r="F134" s="4" t="s">
        <v>237</v>
      </c>
    </row>
    <row r="135" spans="1:6" s="12" customFormat="1" x14ac:dyDescent="0.25">
      <c r="A135" s="4">
        <v>66</v>
      </c>
      <c r="B135" s="4" t="s">
        <v>236</v>
      </c>
      <c r="C135" s="4">
        <v>0</v>
      </c>
      <c r="D135" s="4">
        <v>0</v>
      </c>
      <c r="E135" s="4" t="s">
        <v>214</v>
      </c>
      <c r="F135" s="4" t="s">
        <v>234</v>
      </c>
    </row>
    <row r="136" spans="1:6" s="12" customFormat="1" x14ac:dyDescent="0.25">
      <c r="A136" s="4">
        <v>67</v>
      </c>
      <c r="B136" s="4" t="s">
        <v>235</v>
      </c>
      <c r="C136" s="4">
        <v>0</v>
      </c>
      <c r="D136" s="4">
        <v>0</v>
      </c>
      <c r="E136" s="4" t="s">
        <v>214</v>
      </c>
      <c r="F136" s="4" t="s">
        <v>237</v>
      </c>
    </row>
    <row r="137" spans="1:6" s="12" customFormat="1" x14ac:dyDescent="0.25">
      <c r="A137" s="8">
        <v>67</v>
      </c>
      <c r="B137" s="8" t="s">
        <v>236</v>
      </c>
      <c r="C137" s="8">
        <v>0</v>
      </c>
      <c r="D137" s="8">
        <v>0</v>
      </c>
      <c r="E137" s="8" t="s">
        <v>214</v>
      </c>
      <c r="F137" s="8" t="s">
        <v>234</v>
      </c>
    </row>
    <row r="138" spans="1:6" s="8" customFormat="1" x14ac:dyDescent="0.25">
      <c r="A138" s="8">
        <v>1</v>
      </c>
      <c r="B138" s="8" t="s">
        <v>235</v>
      </c>
      <c r="C138" s="8">
        <f>2832.73+2832.73</f>
        <v>5665.46</v>
      </c>
      <c r="D138" s="8">
        <f>2682.73+2682.73</f>
        <v>5365.46</v>
      </c>
      <c r="E138" s="8" t="s">
        <v>214</v>
      </c>
      <c r="F138" s="8" t="s">
        <v>237</v>
      </c>
    </row>
    <row r="139" spans="1:6" x14ac:dyDescent="0.25">
      <c r="A139" s="5">
        <v>1</v>
      </c>
      <c r="B139" s="5" t="s">
        <v>236</v>
      </c>
      <c r="C139" s="5">
        <v>0</v>
      </c>
      <c r="D139" s="5">
        <v>0</v>
      </c>
      <c r="E139" s="5" t="s">
        <v>214</v>
      </c>
      <c r="F139" s="5" t="s">
        <v>234</v>
      </c>
    </row>
    <row r="140" spans="1:6" x14ac:dyDescent="0.25">
      <c r="A140" s="5">
        <v>2</v>
      </c>
      <c r="B140" s="5" t="s">
        <v>235</v>
      </c>
      <c r="C140" s="5">
        <f>614.31+614.31</f>
        <v>1228.6199999999999</v>
      </c>
      <c r="D140" s="5">
        <f>614.31+614.31</f>
        <v>1228.6199999999999</v>
      </c>
      <c r="E140" s="5" t="s">
        <v>214</v>
      </c>
      <c r="F140" s="5" t="s">
        <v>237</v>
      </c>
    </row>
    <row r="141" spans="1:6" x14ac:dyDescent="0.25">
      <c r="A141" s="5">
        <v>2</v>
      </c>
      <c r="B141" s="5" t="s">
        <v>236</v>
      </c>
      <c r="C141" s="5">
        <v>0</v>
      </c>
      <c r="D141" s="5">
        <v>0</v>
      </c>
      <c r="E141" s="5" t="s">
        <v>214</v>
      </c>
      <c r="F141" s="5" t="s">
        <v>234</v>
      </c>
    </row>
    <row r="142" spans="1:6" x14ac:dyDescent="0.25">
      <c r="A142" s="5">
        <v>3</v>
      </c>
      <c r="B142" s="5" t="s">
        <v>235</v>
      </c>
      <c r="C142" s="5">
        <f>447.33+639.05</f>
        <v>1086.3799999999999</v>
      </c>
      <c r="D142" s="5">
        <f>447.33+639.05</f>
        <v>1086.3799999999999</v>
      </c>
      <c r="E142" s="5" t="s">
        <v>214</v>
      </c>
      <c r="F142" s="5" t="s">
        <v>237</v>
      </c>
    </row>
    <row r="143" spans="1:6" x14ac:dyDescent="0.25">
      <c r="A143" s="5">
        <v>3</v>
      </c>
      <c r="B143" s="5" t="s">
        <v>236</v>
      </c>
      <c r="C143" s="5">
        <v>0</v>
      </c>
      <c r="D143" s="5">
        <v>0</v>
      </c>
      <c r="E143" s="5" t="s">
        <v>214</v>
      </c>
      <c r="F143" s="5" t="s">
        <v>234</v>
      </c>
    </row>
    <row r="144" spans="1:6" x14ac:dyDescent="0.25">
      <c r="A144" s="5">
        <v>4</v>
      </c>
      <c r="B144" s="5" t="s">
        <v>235</v>
      </c>
      <c r="C144" s="5">
        <f>614.31+614.32</f>
        <v>1228.6300000000001</v>
      </c>
      <c r="D144" s="5">
        <f>614.31+614.32</f>
        <v>1228.6300000000001</v>
      </c>
      <c r="E144" s="5" t="s">
        <v>214</v>
      </c>
      <c r="F144" s="5" t="s">
        <v>237</v>
      </c>
    </row>
    <row r="145" spans="1:6" x14ac:dyDescent="0.25">
      <c r="A145" s="5">
        <v>4</v>
      </c>
      <c r="B145" s="5" t="s">
        <v>236</v>
      </c>
      <c r="C145" s="5">
        <v>0</v>
      </c>
      <c r="D145" s="5">
        <v>0</v>
      </c>
      <c r="E145" s="5" t="s">
        <v>214</v>
      </c>
      <c r="F145" s="5" t="s">
        <v>234</v>
      </c>
    </row>
    <row r="146" spans="1:6" x14ac:dyDescent="0.25">
      <c r="A146" s="5">
        <v>5</v>
      </c>
      <c r="B146" s="5" t="s">
        <v>235</v>
      </c>
      <c r="C146" s="5">
        <f>639.05+639.05</f>
        <v>1278.0999999999999</v>
      </c>
      <c r="D146" s="5">
        <f>639.05+639.05</f>
        <v>1278.0999999999999</v>
      </c>
      <c r="E146" s="5" t="s">
        <v>214</v>
      </c>
      <c r="F146" s="5" t="s">
        <v>237</v>
      </c>
    </row>
    <row r="147" spans="1:6" x14ac:dyDescent="0.25">
      <c r="A147" s="5">
        <v>5</v>
      </c>
      <c r="B147" s="5" t="s">
        <v>236</v>
      </c>
      <c r="C147" s="5">
        <v>0</v>
      </c>
      <c r="D147" s="5">
        <v>0</v>
      </c>
      <c r="E147" s="5" t="s">
        <v>214</v>
      </c>
      <c r="F147" s="5" t="s">
        <v>234</v>
      </c>
    </row>
    <row r="148" spans="1:6" x14ac:dyDescent="0.25">
      <c r="A148" s="5">
        <v>6</v>
      </c>
      <c r="B148" s="5" t="s">
        <v>235</v>
      </c>
      <c r="C148" s="5">
        <f>542.26+542.26</f>
        <v>1084.52</v>
      </c>
      <c r="D148" s="5">
        <f>542.26+542.26</f>
        <v>1084.52</v>
      </c>
      <c r="E148" s="5" t="s">
        <v>214</v>
      </c>
      <c r="F148" s="5" t="s">
        <v>237</v>
      </c>
    </row>
    <row r="149" spans="1:6" x14ac:dyDescent="0.25">
      <c r="A149" s="5">
        <v>6</v>
      </c>
      <c r="B149" s="5" t="s">
        <v>236</v>
      </c>
      <c r="C149" s="5">
        <v>0</v>
      </c>
      <c r="D149" s="5">
        <v>0</v>
      </c>
      <c r="E149" s="5" t="s">
        <v>214</v>
      </c>
      <c r="F149" s="5" t="s">
        <v>234</v>
      </c>
    </row>
    <row r="150" spans="1:6" x14ac:dyDescent="0.25">
      <c r="A150" s="5">
        <v>7</v>
      </c>
      <c r="B150" s="5" t="s">
        <v>235</v>
      </c>
      <c r="C150" s="5">
        <f>542.26+542.26</f>
        <v>1084.52</v>
      </c>
      <c r="D150" s="5">
        <f>542.26+542.26</f>
        <v>1084.52</v>
      </c>
      <c r="E150" s="5" t="s">
        <v>214</v>
      </c>
      <c r="F150" s="5" t="s">
        <v>237</v>
      </c>
    </row>
    <row r="151" spans="1:6" x14ac:dyDescent="0.25">
      <c r="A151" s="5">
        <v>7</v>
      </c>
      <c r="B151" s="5" t="s">
        <v>236</v>
      </c>
      <c r="C151" s="5">
        <v>0</v>
      </c>
      <c r="D151" s="5">
        <v>0</v>
      </c>
      <c r="E151" s="5" t="s">
        <v>214</v>
      </c>
      <c r="F151" s="5" t="s">
        <v>234</v>
      </c>
    </row>
    <row r="152" spans="1:6" x14ac:dyDescent="0.25">
      <c r="A152" s="5">
        <v>8</v>
      </c>
      <c r="B152" s="5" t="s">
        <v>235</v>
      </c>
      <c r="C152" s="5">
        <f>614.31+614.32</f>
        <v>1228.6300000000001</v>
      </c>
      <c r="D152" s="5">
        <f>614.31+614.32</f>
        <v>1228.6300000000001</v>
      </c>
      <c r="E152" s="5" t="s">
        <v>214</v>
      </c>
      <c r="F152" s="5" t="s">
        <v>237</v>
      </c>
    </row>
    <row r="153" spans="1:6" x14ac:dyDescent="0.25">
      <c r="A153" s="5">
        <v>8</v>
      </c>
      <c r="B153" s="5" t="s">
        <v>236</v>
      </c>
      <c r="C153" s="5">
        <v>0</v>
      </c>
      <c r="D153" s="5">
        <v>0</v>
      </c>
      <c r="E153" s="5" t="s">
        <v>214</v>
      </c>
      <c r="F153" s="5" t="s">
        <v>234</v>
      </c>
    </row>
    <row r="154" spans="1:6" x14ac:dyDescent="0.25">
      <c r="A154" s="5">
        <v>9</v>
      </c>
      <c r="B154" s="5" t="s">
        <v>235</v>
      </c>
      <c r="C154" s="5">
        <f>542.26+542.26</f>
        <v>1084.52</v>
      </c>
      <c r="D154" s="5">
        <f>542.26+542.26</f>
        <v>1084.52</v>
      </c>
      <c r="E154" s="5" t="s">
        <v>214</v>
      </c>
      <c r="F154" s="5" t="s">
        <v>237</v>
      </c>
    </row>
    <row r="155" spans="1:6" x14ac:dyDescent="0.25">
      <c r="A155" s="5">
        <v>9</v>
      </c>
      <c r="B155" s="5" t="s">
        <v>236</v>
      </c>
      <c r="C155" s="5">
        <v>0</v>
      </c>
      <c r="D155" s="5">
        <v>0</v>
      </c>
      <c r="E155" s="5" t="s">
        <v>214</v>
      </c>
      <c r="F155" s="5" t="s">
        <v>234</v>
      </c>
    </row>
    <row r="156" spans="1:6" x14ac:dyDescent="0.25">
      <c r="A156" s="5">
        <v>10</v>
      </c>
      <c r="B156" s="5" t="s">
        <v>235</v>
      </c>
      <c r="C156" s="5">
        <f>542.26+542.26</f>
        <v>1084.52</v>
      </c>
      <c r="D156" s="5">
        <f>542.26+542.26</f>
        <v>1084.52</v>
      </c>
      <c r="E156" s="5" t="s">
        <v>214</v>
      </c>
      <c r="F156" s="5" t="s">
        <v>237</v>
      </c>
    </row>
    <row r="157" spans="1:6" x14ac:dyDescent="0.25">
      <c r="A157" s="5">
        <v>10</v>
      </c>
      <c r="B157" s="5" t="s">
        <v>236</v>
      </c>
      <c r="C157" s="5">
        <v>0</v>
      </c>
      <c r="D157" s="5">
        <v>0</v>
      </c>
      <c r="E157" s="5" t="s">
        <v>214</v>
      </c>
      <c r="F157" s="5" t="s">
        <v>234</v>
      </c>
    </row>
    <row r="158" spans="1:6" x14ac:dyDescent="0.25">
      <c r="A158" s="8">
        <v>11</v>
      </c>
      <c r="B158" s="8" t="s">
        <v>235</v>
      </c>
      <c r="C158" s="8">
        <v>1174.58</v>
      </c>
      <c r="D158" s="8">
        <v>1174.58</v>
      </c>
      <c r="E158" s="8" t="s">
        <v>214</v>
      </c>
      <c r="F158" s="8" t="s">
        <v>237</v>
      </c>
    </row>
    <row r="159" spans="1:6" x14ac:dyDescent="0.25">
      <c r="A159" s="8">
        <v>11</v>
      </c>
      <c r="B159" s="8" t="s">
        <v>236</v>
      </c>
      <c r="C159" s="8">
        <v>10397.4</v>
      </c>
      <c r="D159" s="8">
        <v>10397.4</v>
      </c>
      <c r="E159" s="8" t="s">
        <v>214</v>
      </c>
      <c r="F159" s="8" t="s">
        <v>234</v>
      </c>
    </row>
    <row r="160" spans="1:6" x14ac:dyDescent="0.25">
      <c r="A160" s="5">
        <v>12</v>
      </c>
      <c r="B160" s="5" t="s">
        <v>235</v>
      </c>
      <c r="C160" s="5">
        <f>542.26+542.26</f>
        <v>1084.52</v>
      </c>
      <c r="D160" s="5">
        <f>542.26+542.26</f>
        <v>1084.52</v>
      </c>
      <c r="E160" s="5" t="s">
        <v>214</v>
      </c>
      <c r="F160" s="5" t="s">
        <v>237</v>
      </c>
    </row>
    <row r="161" spans="1:6" x14ac:dyDescent="0.25">
      <c r="A161" s="5">
        <v>12</v>
      </c>
      <c r="B161" s="5" t="s">
        <v>236</v>
      </c>
      <c r="C161" s="5">
        <v>0</v>
      </c>
      <c r="D161" s="5">
        <v>0</v>
      </c>
      <c r="E161" s="5" t="s">
        <v>214</v>
      </c>
      <c r="F161" s="5" t="s">
        <v>234</v>
      </c>
    </row>
    <row r="162" spans="1:6" x14ac:dyDescent="0.25">
      <c r="A162" s="5">
        <v>13</v>
      </c>
      <c r="B162" s="5" t="s">
        <v>235</v>
      </c>
      <c r="C162" s="5">
        <f>614.31+614.31</f>
        <v>1228.6199999999999</v>
      </c>
      <c r="D162" s="5">
        <f>614.31+614.31</f>
        <v>1228.6199999999999</v>
      </c>
      <c r="E162" s="5" t="s">
        <v>214</v>
      </c>
      <c r="F162" s="5" t="s">
        <v>237</v>
      </c>
    </row>
    <row r="163" spans="1:6" x14ac:dyDescent="0.25">
      <c r="A163" s="5">
        <v>13</v>
      </c>
      <c r="B163" s="5" t="s">
        <v>236</v>
      </c>
      <c r="C163" s="5">
        <v>0</v>
      </c>
      <c r="D163" s="5">
        <v>0</v>
      </c>
      <c r="E163" s="5" t="s">
        <v>214</v>
      </c>
      <c r="F163" s="5" t="s">
        <v>234</v>
      </c>
    </row>
    <row r="164" spans="1:6" x14ac:dyDescent="0.25">
      <c r="A164" s="5">
        <v>14</v>
      </c>
      <c r="B164" s="5" t="s">
        <v>235</v>
      </c>
      <c r="C164" s="5">
        <f>542.26+542.26</f>
        <v>1084.52</v>
      </c>
      <c r="D164" s="5">
        <f>542.26+542.26</f>
        <v>1084.52</v>
      </c>
      <c r="E164" s="5" t="s">
        <v>214</v>
      </c>
      <c r="F164" s="5" t="s">
        <v>237</v>
      </c>
    </row>
    <row r="165" spans="1:6" x14ac:dyDescent="0.25">
      <c r="A165" s="5">
        <v>14</v>
      </c>
      <c r="B165" s="5" t="s">
        <v>236</v>
      </c>
      <c r="C165" s="5">
        <v>0</v>
      </c>
      <c r="D165" s="5">
        <v>0</v>
      </c>
      <c r="E165" s="5" t="s">
        <v>214</v>
      </c>
      <c r="F165" s="5" t="s">
        <v>234</v>
      </c>
    </row>
    <row r="166" spans="1:6" x14ac:dyDescent="0.25">
      <c r="A166" s="5">
        <v>15</v>
      </c>
      <c r="B166" s="5" t="s">
        <v>235</v>
      </c>
      <c r="C166" s="5">
        <f>614.31+614.31</f>
        <v>1228.6199999999999</v>
      </c>
      <c r="D166" s="5">
        <f>614.31+614.31</f>
        <v>1228.6199999999999</v>
      </c>
      <c r="E166" s="5" t="s">
        <v>214</v>
      </c>
      <c r="F166" s="5" t="s">
        <v>237</v>
      </c>
    </row>
    <row r="167" spans="1:6" x14ac:dyDescent="0.25">
      <c r="A167" s="5">
        <v>15</v>
      </c>
      <c r="B167" s="5" t="s">
        <v>236</v>
      </c>
      <c r="C167" s="5">
        <v>0</v>
      </c>
      <c r="D167" s="5">
        <v>0</v>
      </c>
      <c r="E167" s="5" t="s">
        <v>214</v>
      </c>
      <c r="F167" s="5" t="s">
        <v>234</v>
      </c>
    </row>
    <row r="168" spans="1:6" x14ac:dyDescent="0.25">
      <c r="A168" s="5">
        <v>16</v>
      </c>
      <c r="B168" s="5" t="s">
        <v>235</v>
      </c>
      <c r="C168" s="5">
        <f>614.31+614.31</f>
        <v>1228.6199999999999</v>
      </c>
      <c r="D168" s="5">
        <f>614.31+614.31</f>
        <v>1228.6199999999999</v>
      </c>
      <c r="E168" s="5" t="s">
        <v>214</v>
      </c>
      <c r="F168" s="5" t="s">
        <v>237</v>
      </c>
    </row>
    <row r="169" spans="1:6" x14ac:dyDescent="0.25">
      <c r="A169" s="5">
        <v>16</v>
      </c>
      <c r="B169" s="5" t="s">
        <v>236</v>
      </c>
      <c r="C169" s="5">
        <v>0</v>
      </c>
      <c r="D169" s="5">
        <v>0</v>
      </c>
      <c r="E169" s="5" t="s">
        <v>214</v>
      </c>
      <c r="F169" s="5" t="s">
        <v>234</v>
      </c>
    </row>
    <row r="170" spans="1:6" x14ac:dyDescent="0.25">
      <c r="A170" s="8">
        <v>17</v>
      </c>
      <c r="B170" s="8" t="s">
        <v>235</v>
      </c>
      <c r="C170" s="8">
        <v>393.27</v>
      </c>
      <c r="D170" s="8">
        <v>393.27</v>
      </c>
      <c r="E170" s="8" t="s">
        <v>214</v>
      </c>
      <c r="F170" s="8" t="s">
        <v>237</v>
      </c>
    </row>
    <row r="171" spans="1:6" x14ac:dyDescent="0.25">
      <c r="A171" s="8">
        <v>17</v>
      </c>
      <c r="B171" s="8" t="s">
        <v>236</v>
      </c>
      <c r="C171" s="8">
        <v>7979.4</v>
      </c>
      <c r="D171" s="8">
        <v>7979.4</v>
      </c>
      <c r="E171" s="8" t="s">
        <v>214</v>
      </c>
      <c r="F171" s="8" t="s">
        <v>234</v>
      </c>
    </row>
    <row r="172" spans="1:6" x14ac:dyDescent="0.25">
      <c r="A172" s="5">
        <v>18</v>
      </c>
      <c r="B172" s="5" t="s">
        <v>235</v>
      </c>
      <c r="C172" s="5">
        <f>2832.73+2832.73</f>
        <v>5665.46</v>
      </c>
      <c r="D172" s="5">
        <f>2682.73+2682.73</f>
        <v>5365.46</v>
      </c>
      <c r="E172" s="5" t="s">
        <v>214</v>
      </c>
      <c r="F172" s="5" t="s">
        <v>237</v>
      </c>
    </row>
    <row r="173" spans="1:6" x14ac:dyDescent="0.25">
      <c r="A173" s="5">
        <v>18</v>
      </c>
      <c r="B173" s="5" t="s">
        <v>236</v>
      </c>
      <c r="C173" s="5">
        <v>0</v>
      </c>
      <c r="D173" s="5">
        <v>0</v>
      </c>
      <c r="E173" s="5" t="s">
        <v>214</v>
      </c>
      <c r="F173" s="5" t="s">
        <v>234</v>
      </c>
    </row>
    <row r="174" spans="1:6" x14ac:dyDescent="0.25">
      <c r="A174" s="5">
        <v>19</v>
      </c>
      <c r="B174" s="5" t="s">
        <v>235</v>
      </c>
      <c r="C174" s="5">
        <f>583.59+466.87</f>
        <v>1050.46</v>
      </c>
      <c r="D174" s="5">
        <f>583.59+466.87</f>
        <v>1050.46</v>
      </c>
      <c r="E174" s="5" t="s">
        <v>214</v>
      </c>
      <c r="F174" s="5" t="s">
        <v>237</v>
      </c>
    </row>
    <row r="175" spans="1:6" x14ac:dyDescent="0.25">
      <c r="A175" s="5">
        <v>19</v>
      </c>
      <c r="B175" s="5" t="s">
        <v>236</v>
      </c>
      <c r="C175" s="5">
        <v>0</v>
      </c>
      <c r="D175" s="5">
        <v>0</v>
      </c>
      <c r="E175" s="5" t="s">
        <v>214</v>
      </c>
      <c r="F175" s="5" t="s">
        <v>234</v>
      </c>
    </row>
    <row r="176" spans="1:6" x14ac:dyDescent="0.25">
      <c r="A176" s="5">
        <v>20</v>
      </c>
      <c r="B176" s="5" t="s">
        <v>235</v>
      </c>
      <c r="C176" s="5">
        <f>542.26+542.26</f>
        <v>1084.52</v>
      </c>
      <c r="D176" s="5">
        <f>542.26+542.26</f>
        <v>1084.52</v>
      </c>
      <c r="E176" s="5" t="s">
        <v>214</v>
      </c>
      <c r="F176" s="5" t="s">
        <v>237</v>
      </c>
    </row>
    <row r="177" spans="1:6" x14ac:dyDescent="0.25">
      <c r="A177" s="5">
        <v>20</v>
      </c>
      <c r="B177" s="5" t="s">
        <v>236</v>
      </c>
      <c r="C177" s="5">
        <v>0</v>
      </c>
      <c r="D177" s="5">
        <v>0</v>
      </c>
      <c r="E177" s="5" t="s">
        <v>214</v>
      </c>
      <c r="F177" s="5" t="s">
        <v>234</v>
      </c>
    </row>
    <row r="178" spans="1:6" x14ac:dyDescent="0.25">
      <c r="A178" s="5">
        <v>21</v>
      </c>
      <c r="B178" s="5" t="s">
        <v>235</v>
      </c>
      <c r="C178" s="5">
        <f>614.31+639.05</f>
        <v>1253.3599999999999</v>
      </c>
      <c r="D178" s="5">
        <f>614.31+639.05</f>
        <v>1253.3599999999999</v>
      </c>
      <c r="E178" s="5" t="s">
        <v>214</v>
      </c>
      <c r="F178" s="5" t="s">
        <v>237</v>
      </c>
    </row>
    <row r="179" spans="1:6" x14ac:dyDescent="0.25">
      <c r="A179" s="5">
        <v>21</v>
      </c>
      <c r="B179" s="5" t="s">
        <v>236</v>
      </c>
      <c r="C179" s="5">
        <v>0</v>
      </c>
      <c r="D179" s="5">
        <v>0</v>
      </c>
      <c r="E179" s="5" t="s">
        <v>214</v>
      </c>
      <c r="F179" s="5" t="s">
        <v>234</v>
      </c>
    </row>
    <row r="180" spans="1:6" x14ac:dyDescent="0.25">
      <c r="A180" s="5">
        <v>22</v>
      </c>
      <c r="B180" s="5" t="s">
        <v>235</v>
      </c>
      <c r="C180" s="5">
        <f>542.26+542.26</f>
        <v>1084.52</v>
      </c>
      <c r="D180" s="5">
        <f>542.26+542.26</f>
        <v>1084.52</v>
      </c>
      <c r="E180" s="5" t="s">
        <v>214</v>
      </c>
      <c r="F180" s="5" t="s">
        <v>237</v>
      </c>
    </row>
    <row r="181" spans="1:6" x14ac:dyDescent="0.25">
      <c r="A181" s="5">
        <v>22</v>
      </c>
      <c r="B181" s="5" t="s">
        <v>236</v>
      </c>
      <c r="C181" s="5">
        <v>0</v>
      </c>
      <c r="D181" s="5">
        <v>0</v>
      </c>
      <c r="E181" s="5" t="s">
        <v>214</v>
      </c>
      <c r="F181" s="5" t="s">
        <v>234</v>
      </c>
    </row>
    <row r="182" spans="1:6" x14ac:dyDescent="0.25">
      <c r="A182" s="8">
        <v>23</v>
      </c>
      <c r="B182" s="8" t="s">
        <v>235</v>
      </c>
      <c r="C182" s="8">
        <v>846.84</v>
      </c>
      <c r="D182" s="8">
        <v>846.84</v>
      </c>
      <c r="E182" s="8" t="s">
        <v>214</v>
      </c>
      <c r="F182" s="8" t="s">
        <v>237</v>
      </c>
    </row>
    <row r="183" spans="1:6" x14ac:dyDescent="0.25">
      <c r="A183" s="8">
        <v>23</v>
      </c>
      <c r="B183" s="8" t="s">
        <v>236</v>
      </c>
      <c r="C183" s="8">
        <v>5606.54</v>
      </c>
      <c r="D183" s="8">
        <v>5606.54</v>
      </c>
      <c r="E183" s="8" t="s">
        <v>214</v>
      </c>
      <c r="F183" s="8" t="s">
        <v>234</v>
      </c>
    </row>
    <row r="184" spans="1:6" x14ac:dyDescent="0.25">
      <c r="A184" s="5">
        <v>24</v>
      </c>
      <c r="B184" s="5" t="s">
        <v>235</v>
      </c>
      <c r="C184" s="5">
        <f>2832.73+2832.72</f>
        <v>5665.45</v>
      </c>
      <c r="D184" s="5">
        <f>2682.73+2682.73</f>
        <v>5365.46</v>
      </c>
      <c r="E184" s="5" t="s">
        <v>214</v>
      </c>
      <c r="F184" s="5" t="s">
        <v>237</v>
      </c>
    </row>
    <row r="185" spans="1:6" x14ac:dyDescent="0.25">
      <c r="A185" s="5">
        <v>24</v>
      </c>
      <c r="B185" s="5" t="s">
        <v>236</v>
      </c>
      <c r="C185" s="5">
        <v>0</v>
      </c>
      <c r="D185" s="5">
        <v>0</v>
      </c>
      <c r="E185" s="5" t="s">
        <v>214</v>
      </c>
      <c r="F185" s="5" t="s">
        <v>234</v>
      </c>
    </row>
    <row r="186" spans="1:6" x14ac:dyDescent="0.25">
      <c r="A186" s="5">
        <v>25</v>
      </c>
      <c r="B186" s="5" t="s">
        <v>235</v>
      </c>
      <c r="C186" s="5">
        <f>593.63+593.64</f>
        <v>1187.27</v>
      </c>
      <c r="D186" s="5">
        <f>593.63+593.64</f>
        <v>1187.27</v>
      </c>
      <c r="E186" s="5" t="s">
        <v>214</v>
      </c>
      <c r="F186" s="5" t="s">
        <v>237</v>
      </c>
    </row>
    <row r="187" spans="1:6" x14ac:dyDescent="0.25">
      <c r="A187" s="5">
        <v>25</v>
      </c>
      <c r="B187" s="5" t="s">
        <v>236</v>
      </c>
      <c r="C187" s="5">
        <v>0</v>
      </c>
      <c r="D187" s="5">
        <v>0</v>
      </c>
      <c r="E187" s="5" t="s">
        <v>214</v>
      </c>
      <c r="F187" s="5" t="s">
        <v>234</v>
      </c>
    </row>
    <row r="188" spans="1:6" x14ac:dyDescent="0.25">
      <c r="A188" s="5">
        <v>26</v>
      </c>
      <c r="B188" s="5" t="s">
        <v>235</v>
      </c>
      <c r="C188" s="5">
        <f>639.05+639.05</f>
        <v>1278.0999999999999</v>
      </c>
      <c r="D188" s="5">
        <f>639.05+639.05</f>
        <v>1278.0999999999999</v>
      </c>
      <c r="E188" s="5" t="s">
        <v>214</v>
      </c>
      <c r="F188" s="5" t="s">
        <v>237</v>
      </c>
    </row>
    <row r="189" spans="1:6" x14ac:dyDescent="0.25">
      <c r="A189" s="5">
        <v>26</v>
      </c>
      <c r="B189" s="5" t="s">
        <v>236</v>
      </c>
      <c r="C189" s="5">
        <v>0</v>
      </c>
      <c r="D189" s="5">
        <v>0</v>
      </c>
      <c r="E189" s="5" t="s">
        <v>214</v>
      </c>
      <c r="F189" s="5" t="s">
        <v>234</v>
      </c>
    </row>
    <row r="190" spans="1:6" x14ac:dyDescent="0.25">
      <c r="A190" s="5">
        <v>27</v>
      </c>
      <c r="B190" s="5" t="s">
        <v>235</v>
      </c>
      <c r="C190" s="5">
        <f>2287.21+2287.22</f>
        <v>4574.43</v>
      </c>
      <c r="D190" s="5">
        <f>2137.21+2137.22</f>
        <v>4274.43</v>
      </c>
      <c r="E190" s="5" t="s">
        <v>214</v>
      </c>
      <c r="F190" s="5" t="s">
        <v>237</v>
      </c>
    </row>
    <row r="191" spans="1:6" x14ac:dyDescent="0.25">
      <c r="A191" s="5">
        <v>27</v>
      </c>
      <c r="B191" s="5" t="s">
        <v>236</v>
      </c>
      <c r="C191" s="5">
        <v>0</v>
      </c>
      <c r="D191" s="5">
        <v>0</v>
      </c>
      <c r="E191" s="5" t="s">
        <v>214</v>
      </c>
      <c r="F191" s="5" t="s">
        <v>234</v>
      </c>
    </row>
    <row r="192" spans="1:6" x14ac:dyDescent="0.25">
      <c r="A192" s="5">
        <v>28</v>
      </c>
      <c r="B192" s="5" t="s">
        <v>235</v>
      </c>
      <c r="C192" s="5">
        <f>542.26+542.26</f>
        <v>1084.52</v>
      </c>
      <c r="D192" s="5">
        <f>542.26+542.26</f>
        <v>1084.52</v>
      </c>
      <c r="E192" s="5" t="s">
        <v>214</v>
      </c>
      <c r="F192" s="5" t="s">
        <v>234</v>
      </c>
    </row>
    <row r="193" spans="1:6" x14ac:dyDescent="0.25">
      <c r="A193" s="5">
        <v>28</v>
      </c>
      <c r="B193" s="5" t="s">
        <v>236</v>
      </c>
      <c r="C193" s="5">
        <v>0</v>
      </c>
      <c r="D193" s="5">
        <v>0</v>
      </c>
      <c r="E193" s="5" t="s">
        <v>214</v>
      </c>
      <c r="F193" s="5" t="s">
        <v>234</v>
      </c>
    </row>
    <row r="194" spans="1:6" x14ac:dyDescent="0.25">
      <c r="A194" s="5">
        <v>29</v>
      </c>
      <c r="B194" s="5" t="s">
        <v>235</v>
      </c>
      <c r="C194" s="5">
        <f>583.59+583.59</f>
        <v>1167.18</v>
      </c>
      <c r="D194" s="5">
        <f>583.59+583.59</f>
        <v>1167.18</v>
      </c>
      <c r="E194" s="5" t="s">
        <v>214</v>
      </c>
      <c r="F194" s="5" t="s">
        <v>237</v>
      </c>
    </row>
    <row r="195" spans="1:6" x14ac:dyDescent="0.25">
      <c r="A195" s="5">
        <v>29</v>
      </c>
      <c r="B195" s="5" t="s">
        <v>236</v>
      </c>
      <c r="C195" s="5">
        <v>0</v>
      </c>
      <c r="D195" s="5">
        <v>0</v>
      </c>
      <c r="E195" s="5" t="s">
        <v>214</v>
      </c>
      <c r="F195" s="5" t="s">
        <v>234</v>
      </c>
    </row>
    <row r="196" spans="1:6" x14ac:dyDescent="0.25">
      <c r="A196" s="5">
        <v>30</v>
      </c>
      <c r="B196" s="5" t="s">
        <v>235</v>
      </c>
      <c r="C196" s="5">
        <f>542.26+542.26</f>
        <v>1084.52</v>
      </c>
      <c r="D196" s="5">
        <f>542.26+542.26</f>
        <v>1084.52</v>
      </c>
      <c r="E196" s="5" t="s">
        <v>214</v>
      </c>
      <c r="F196" s="5" t="s">
        <v>237</v>
      </c>
    </row>
    <row r="197" spans="1:6" x14ac:dyDescent="0.25">
      <c r="A197" s="5">
        <v>30</v>
      </c>
      <c r="B197" s="5" t="s">
        <v>236</v>
      </c>
      <c r="C197" s="5">
        <v>0</v>
      </c>
      <c r="D197" s="5">
        <v>0</v>
      </c>
      <c r="E197" s="5" t="s">
        <v>214</v>
      </c>
      <c r="F197" s="5" t="s">
        <v>234</v>
      </c>
    </row>
    <row r="198" spans="1:6" x14ac:dyDescent="0.25">
      <c r="A198" s="5">
        <v>31</v>
      </c>
      <c r="B198" s="5" t="s">
        <v>235</v>
      </c>
      <c r="C198" s="5">
        <f>542.26+542.26</f>
        <v>1084.52</v>
      </c>
      <c r="D198" s="5">
        <f>542.26+542.26</f>
        <v>1084.52</v>
      </c>
      <c r="E198" s="5" t="s">
        <v>214</v>
      </c>
      <c r="F198" s="5" t="s">
        <v>234</v>
      </c>
    </row>
    <row r="199" spans="1:6" x14ac:dyDescent="0.25">
      <c r="A199" s="5">
        <v>31</v>
      </c>
      <c r="B199" s="5" t="s">
        <v>236</v>
      </c>
      <c r="C199" s="5">
        <v>0</v>
      </c>
      <c r="D199" s="5">
        <v>0</v>
      </c>
      <c r="E199" s="5" t="s">
        <v>214</v>
      </c>
      <c r="F199" s="5" t="s">
        <v>234</v>
      </c>
    </row>
    <row r="200" spans="1:6" x14ac:dyDescent="0.25">
      <c r="A200" s="5">
        <v>32</v>
      </c>
      <c r="B200" s="5" t="s">
        <v>235</v>
      </c>
      <c r="C200" s="5">
        <f>542.26+542.26</f>
        <v>1084.52</v>
      </c>
      <c r="D200" s="5">
        <f>542.26+542.26</f>
        <v>1084.52</v>
      </c>
      <c r="E200" s="5" t="s">
        <v>214</v>
      </c>
      <c r="F200" s="5" t="s">
        <v>237</v>
      </c>
    </row>
    <row r="201" spans="1:6" x14ac:dyDescent="0.25">
      <c r="A201" s="5">
        <v>32</v>
      </c>
      <c r="B201" s="5" t="s">
        <v>236</v>
      </c>
      <c r="C201" s="5">
        <v>0</v>
      </c>
      <c r="D201" s="5">
        <v>0</v>
      </c>
      <c r="E201" s="5" t="s">
        <v>214</v>
      </c>
      <c r="F201" s="5" t="s">
        <v>234</v>
      </c>
    </row>
    <row r="202" spans="1:6" x14ac:dyDescent="0.25">
      <c r="A202" s="5">
        <v>33</v>
      </c>
      <c r="B202" s="5" t="s">
        <v>235</v>
      </c>
      <c r="C202" s="5">
        <f>542.26+542.26</f>
        <v>1084.52</v>
      </c>
      <c r="D202" s="5">
        <f>542.26+542.26</f>
        <v>1084.52</v>
      </c>
      <c r="E202" s="5" t="s">
        <v>214</v>
      </c>
      <c r="F202" s="5" t="s">
        <v>234</v>
      </c>
    </row>
    <row r="203" spans="1:6" x14ac:dyDescent="0.25">
      <c r="A203" s="5">
        <v>33</v>
      </c>
      <c r="B203" s="5" t="s">
        <v>236</v>
      </c>
      <c r="C203" s="5">
        <v>0</v>
      </c>
      <c r="D203" s="5">
        <v>0</v>
      </c>
      <c r="E203" s="5" t="s">
        <v>214</v>
      </c>
      <c r="F203" s="5" t="s">
        <v>234</v>
      </c>
    </row>
    <row r="204" spans="1:6" x14ac:dyDescent="0.25">
      <c r="A204" s="5">
        <v>34</v>
      </c>
      <c r="B204" s="5" t="s">
        <v>235</v>
      </c>
      <c r="C204" s="5">
        <f>628.67+628.67</f>
        <v>1257.3399999999999</v>
      </c>
      <c r="D204" s="5">
        <f>628.67+628.67</f>
        <v>1257.3399999999999</v>
      </c>
      <c r="E204" s="5" t="s">
        <v>214</v>
      </c>
      <c r="F204" s="5" t="s">
        <v>237</v>
      </c>
    </row>
    <row r="205" spans="1:6" x14ac:dyDescent="0.25">
      <c r="A205" s="5">
        <v>34</v>
      </c>
      <c r="B205" s="5" t="s">
        <v>236</v>
      </c>
      <c r="C205" s="5">
        <v>0</v>
      </c>
      <c r="D205" s="5">
        <v>0</v>
      </c>
      <c r="E205" s="5" t="s">
        <v>214</v>
      </c>
      <c r="F205" s="5" t="s">
        <v>234</v>
      </c>
    </row>
    <row r="206" spans="1:6" x14ac:dyDescent="0.25">
      <c r="A206" s="5">
        <v>35</v>
      </c>
      <c r="B206" s="5" t="s">
        <v>235</v>
      </c>
      <c r="C206" s="5">
        <f>628.67+628.67</f>
        <v>1257.3399999999999</v>
      </c>
      <c r="D206" s="5">
        <f>628.67+628.67</f>
        <v>1257.3399999999999</v>
      </c>
      <c r="E206" s="5" t="s">
        <v>214</v>
      </c>
      <c r="F206" s="5" t="s">
        <v>237</v>
      </c>
    </row>
    <row r="207" spans="1:6" x14ac:dyDescent="0.25">
      <c r="A207" s="5">
        <v>35</v>
      </c>
      <c r="B207" s="5" t="s">
        <v>236</v>
      </c>
      <c r="C207" s="5">
        <v>0</v>
      </c>
      <c r="D207" s="5">
        <v>0</v>
      </c>
      <c r="E207" s="5" t="s">
        <v>214</v>
      </c>
      <c r="F207" s="5" t="s">
        <v>234</v>
      </c>
    </row>
    <row r="208" spans="1:6" x14ac:dyDescent="0.25">
      <c r="A208" s="5">
        <v>36</v>
      </c>
      <c r="B208" s="5" t="s">
        <v>235</v>
      </c>
      <c r="C208" s="5">
        <f>542.26+542.26</f>
        <v>1084.52</v>
      </c>
      <c r="D208" s="5">
        <f>542.26+542.26</f>
        <v>1084.52</v>
      </c>
      <c r="E208" s="5" t="s">
        <v>214</v>
      </c>
      <c r="F208" s="5" t="s">
        <v>237</v>
      </c>
    </row>
    <row r="209" spans="1:6" x14ac:dyDescent="0.25">
      <c r="A209" s="5">
        <v>36</v>
      </c>
      <c r="B209" s="5" t="s">
        <v>236</v>
      </c>
      <c r="C209" s="5">
        <v>0</v>
      </c>
      <c r="D209" s="5">
        <v>0</v>
      </c>
      <c r="E209" s="5" t="s">
        <v>214</v>
      </c>
      <c r="F209" s="5" t="s">
        <v>234</v>
      </c>
    </row>
    <row r="210" spans="1:6" x14ac:dyDescent="0.25">
      <c r="A210" s="8">
        <v>37</v>
      </c>
      <c r="B210" s="8" t="s">
        <v>235</v>
      </c>
      <c r="C210" s="8">
        <v>542.26</v>
      </c>
      <c r="D210" s="8">
        <v>542.26</v>
      </c>
      <c r="E210" s="8" t="s">
        <v>214</v>
      </c>
      <c r="F210" s="8" t="s">
        <v>237</v>
      </c>
    </row>
    <row r="211" spans="1:6" x14ac:dyDescent="0.25">
      <c r="A211" s="8">
        <v>37</v>
      </c>
      <c r="B211" s="8" t="s">
        <v>236</v>
      </c>
      <c r="C211" s="8">
        <v>3868.8</v>
      </c>
      <c r="D211" s="8">
        <v>3868.8</v>
      </c>
      <c r="E211" s="8" t="s">
        <v>214</v>
      </c>
      <c r="F211" s="8" t="s">
        <v>234</v>
      </c>
    </row>
    <row r="212" spans="1:6" x14ac:dyDescent="0.25">
      <c r="A212" s="5">
        <v>38</v>
      </c>
      <c r="B212" s="5" t="s">
        <v>235</v>
      </c>
      <c r="C212" s="5">
        <f>542.26+542.26</f>
        <v>1084.52</v>
      </c>
      <c r="D212" s="5">
        <f>542.26+542.26</f>
        <v>1084.52</v>
      </c>
      <c r="E212" s="5" t="s">
        <v>214</v>
      </c>
      <c r="F212" s="5" t="s">
        <v>237</v>
      </c>
    </row>
    <row r="213" spans="1:6" x14ac:dyDescent="0.25">
      <c r="A213" s="5">
        <v>38</v>
      </c>
      <c r="B213" s="5" t="s">
        <v>236</v>
      </c>
      <c r="C213" s="5">
        <v>0</v>
      </c>
      <c r="D213" s="5">
        <v>0</v>
      </c>
      <c r="E213" s="5" t="s">
        <v>214</v>
      </c>
      <c r="F213" s="5" t="s">
        <v>234</v>
      </c>
    </row>
    <row r="214" spans="1:6" x14ac:dyDescent="0.25">
      <c r="A214" s="5">
        <v>39</v>
      </c>
      <c r="B214" s="5" t="s">
        <v>235</v>
      </c>
      <c r="C214" s="5">
        <f>542.26+542.26</f>
        <v>1084.52</v>
      </c>
      <c r="D214" s="5">
        <f>542.26+542.26</f>
        <v>1084.52</v>
      </c>
      <c r="E214" s="5" t="s">
        <v>214</v>
      </c>
      <c r="F214" s="5" t="s">
        <v>237</v>
      </c>
    </row>
    <row r="215" spans="1:6" x14ac:dyDescent="0.25">
      <c r="A215" s="5">
        <v>39</v>
      </c>
      <c r="B215" s="5" t="s">
        <v>236</v>
      </c>
      <c r="C215" s="5">
        <v>0</v>
      </c>
      <c r="D215" s="5">
        <v>0</v>
      </c>
      <c r="E215" s="5" t="s">
        <v>214</v>
      </c>
      <c r="F215" s="5" t="s">
        <v>234</v>
      </c>
    </row>
    <row r="216" spans="1:6" x14ac:dyDescent="0.25">
      <c r="A216" s="5">
        <v>40</v>
      </c>
      <c r="B216" s="5" t="s">
        <v>235</v>
      </c>
      <c r="C216" s="5">
        <f>542.26+542.26</f>
        <v>1084.52</v>
      </c>
      <c r="D216" s="5">
        <f>542.26+542.26</f>
        <v>1084.52</v>
      </c>
      <c r="E216" s="5" t="s">
        <v>214</v>
      </c>
      <c r="F216" s="5" t="s">
        <v>237</v>
      </c>
    </row>
    <row r="217" spans="1:6" x14ac:dyDescent="0.25">
      <c r="A217" s="5">
        <v>40</v>
      </c>
      <c r="B217" s="5" t="s">
        <v>236</v>
      </c>
      <c r="C217" s="5">
        <v>0</v>
      </c>
      <c r="D217" s="5">
        <v>0</v>
      </c>
      <c r="E217" s="5" t="s">
        <v>214</v>
      </c>
      <c r="F217" s="5" t="s">
        <v>234</v>
      </c>
    </row>
    <row r="218" spans="1:6" x14ac:dyDescent="0.25">
      <c r="A218" s="5">
        <v>41</v>
      </c>
      <c r="B218" s="5" t="s">
        <v>235</v>
      </c>
      <c r="C218" s="5">
        <f>639.05+639.05</f>
        <v>1278.0999999999999</v>
      </c>
      <c r="D218" s="5">
        <f>639.05+639.05</f>
        <v>1278.0999999999999</v>
      </c>
      <c r="E218" s="5" t="s">
        <v>214</v>
      </c>
      <c r="F218" s="5" t="s">
        <v>237</v>
      </c>
    </row>
    <row r="219" spans="1:6" x14ac:dyDescent="0.25">
      <c r="A219" s="5">
        <v>41</v>
      </c>
      <c r="B219" s="5" t="s">
        <v>236</v>
      </c>
      <c r="C219" s="5">
        <v>0</v>
      </c>
      <c r="D219" s="5">
        <v>0</v>
      </c>
      <c r="E219" s="5" t="s">
        <v>214</v>
      </c>
      <c r="F219" s="5" t="s">
        <v>234</v>
      </c>
    </row>
    <row r="220" spans="1:6" x14ac:dyDescent="0.25">
      <c r="A220" s="8">
        <v>42</v>
      </c>
      <c r="B220" s="8" t="s">
        <v>235</v>
      </c>
      <c r="C220" s="8">
        <v>745.11</v>
      </c>
      <c r="D220" s="8">
        <v>745.11</v>
      </c>
      <c r="E220" s="8" t="s">
        <v>214</v>
      </c>
      <c r="F220" s="8" t="s">
        <v>237</v>
      </c>
    </row>
    <row r="221" spans="1:6" x14ac:dyDescent="0.25">
      <c r="A221" s="8">
        <v>42</v>
      </c>
      <c r="B221" s="8" t="s">
        <v>236</v>
      </c>
      <c r="C221" s="8">
        <v>3627</v>
      </c>
      <c r="D221" s="8">
        <v>3627</v>
      </c>
      <c r="E221" s="8" t="s">
        <v>214</v>
      </c>
      <c r="F221" s="8" t="s">
        <v>234</v>
      </c>
    </row>
    <row r="222" spans="1:6" x14ac:dyDescent="0.25">
      <c r="A222" s="5">
        <v>43</v>
      </c>
      <c r="B222" s="5" t="s">
        <v>235</v>
      </c>
      <c r="C222" s="5">
        <f>542.26+542.26</f>
        <v>1084.52</v>
      </c>
      <c r="D222" s="5">
        <f>542.26+542.26</f>
        <v>1084.52</v>
      </c>
      <c r="E222" s="5" t="s">
        <v>214</v>
      </c>
      <c r="F222" s="5" t="s">
        <v>237</v>
      </c>
    </row>
    <row r="223" spans="1:6" x14ac:dyDescent="0.25">
      <c r="A223" s="5">
        <v>43</v>
      </c>
      <c r="B223" s="5" t="s">
        <v>236</v>
      </c>
      <c r="C223" s="5">
        <v>0</v>
      </c>
      <c r="D223" s="5">
        <v>0</v>
      </c>
      <c r="E223" s="5" t="s">
        <v>214</v>
      </c>
      <c r="F223" s="5" t="s">
        <v>234</v>
      </c>
    </row>
    <row r="224" spans="1:6" x14ac:dyDescent="0.25">
      <c r="A224" s="5">
        <v>44</v>
      </c>
      <c r="B224" s="5" t="s">
        <v>235</v>
      </c>
      <c r="C224" s="5">
        <f>2287.21+2287.22</f>
        <v>4574.43</v>
      </c>
      <c r="D224" s="5">
        <f>2137.21+2137.22</f>
        <v>4274.43</v>
      </c>
      <c r="E224" s="5" t="s">
        <v>214</v>
      </c>
      <c r="F224" s="5" t="s">
        <v>237</v>
      </c>
    </row>
    <row r="225" spans="1:6" x14ac:dyDescent="0.25">
      <c r="A225" s="5">
        <v>44</v>
      </c>
      <c r="B225" s="5" t="s">
        <v>236</v>
      </c>
      <c r="C225" s="5">
        <v>0</v>
      </c>
      <c r="D225" s="5">
        <v>0</v>
      </c>
      <c r="E225" s="5" t="s">
        <v>214</v>
      </c>
      <c r="F225" s="5" t="s">
        <v>234</v>
      </c>
    </row>
    <row r="226" spans="1:6" x14ac:dyDescent="0.25">
      <c r="A226" s="5">
        <v>45</v>
      </c>
      <c r="B226" s="5" t="s">
        <v>235</v>
      </c>
      <c r="C226" s="5">
        <f>628.67+628.67</f>
        <v>1257.3399999999999</v>
      </c>
      <c r="D226" s="5">
        <f>628.67+628.67</f>
        <v>1257.3399999999999</v>
      </c>
      <c r="E226" s="5" t="s">
        <v>214</v>
      </c>
      <c r="F226" s="5" t="s">
        <v>234</v>
      </c>
    </row>
    <row r="227" spans="1:6" x14ac:dyDescent="0.25">
      <c r="A227" s="5">
        <v>45</v>
      </c>
      <c r="B227" s="5" t="s">
        <v>236</v>
      </c>
      <c r="C227" s="5">
        <v>0</v>
      </c>
      <c r="D227" s="5">
        <v>0</v>
      </c>
      <c r="E227" s="5" t="s">
        <v>214</v>
      </c>
      <c r="F227" s="5" t="s">
        <v>234</v>
      </c>
    </row>
    <row r="228" spans="1:6" x14ac:dyDescent="0.25">
      <c r="A228" s="5">
        <v>46</v>
      </c>
      <c r="B228" s="5" t="s">
        <v>235</v>
      </c>
      <c r="C228" s="5">
        <f>542.26+542.26</f>
        <v>1084.52</v>
      </c>
      <c r="D228" s="5">
        <f>542.26+542.26</f>
        <v>1084.52</v>
      </c>
      <c r="E228" s="5" t="s">
        <v>214</v>
      </c>
      <c r="F228" s="5" t="s">
        <v>237</v>
      </c>
    </row>
    <row r="229" spans="1:6" x14ac:dyDescent="0.25">
      <c r="A229" s="5">
        <v>46</v>
      </c>
      <c r="B229" s="5" t="s">
        <v>236</v>
      </c>
      <c r="C229" s="5">
        <v>0</v>
      </c>
      <c r="D229" s="5">
        <v>0</v>
      </c>
      <c r="E229" s="5" t="s">
        <v>214</v>
      </c>
      <c r="F229" s="5" t="s">
        <v>234</v>
      </c>
    </row>
    <row r="230" spans="1:6" x14ac:dyDescent="0.25">
      <c r="A230" s="5">
        <v>47</v>
      </c>
      <c r="B230" s="5" t="s">
        <v>235</v>
      </c>
      <c r="C230" s="5">
        <f>542.26+542.26</f>
        <v>1084.52</v>
      </c>
      <c r="D230" s="5">
        <f>542.26+542.26</f>
        <v>1084.52</v>
      </c>
      <c r="E230" s="5" t="s">
        <v>214</v>
      </c>
      <c r="F230" s="5" t="s">
        <v>237</v>
      </c>
    </row>
    <row r="231" spans="1:6" x14ac:dyDescent="0.25">
      <c r="A231" s="5">
        <v>47</v>
      </c>
      <c r="B231" s="5" t="s">
        <v>236</v>
      </c>
      <c r="C231" s="5">
        <v>0</v>
      </c>
      <c r="D231" s="5">
        <v>0</v>
      </c>
      <c r="E231" s="5" t="s">
        <v>214</v>
      </c>
      <c r="F231" s="5" t="s">
        <v>234</v>
      </c>
    </row>
    <row r="232" spans="1:6" x14ac:dyDescent="0.25">
      <c r="A232" s="5">
        <v>48</v>
      </c>
      <c r="B232" s="5" t="s">
        <v>235</v>
      </c>
      <c r="C232" s="5">
        <f>628.67+628.67</f>
        <v>1257.3399999999999</v>
      </c>
      <c r="D232" s="5">
        <f>628.67+628.67</f>
        <v>1257.3399999999999</v>
      </c>
      <c r="E232" s="5" t="s">
        <v>214</v>
      </c>
      <c r="F232" s="5" t="s">
        <v>237</v>
      </c>
    </row>
    <row r="233" spans="1:6" x14ac:dyDescent="0.25">
      <c r="A233" s="5">
        <v>48</v>
      </c>
      <c r="B233" s="5" t="s">
        <v>236</v>
      </c>
      <c r="C233" s="5">
        <v>0</v>
      </c>
      <c r="D233" s="5">
        <v>0</v>
      </c>
      <c r="E233" s="5" t="s">
        <v>214</v>
      </c>
      <c r="F233" s="5" t="s">
        <v>234</v>
      </c>
    </row>
    <row r="234" spans="1:6" x14ac:dyDescent="0.25">
      <c r="A234" s="5">
        <v>49</v>
      </c>
      <c r="B234" s="5" t="s">
        <v>235</v>
      </c>
      <c r="C234" s="5">
        <f>2832.73+2832.73</f>
        <v>5665.46</v>
      </c>
      <c r="D234" s="5">
        <f>2682.73+2682.73</f>
        <v>5365.46</v>
      </c>
      <c r="E234" s="5" t="s">
        <v>214</v>
      </c>
      <c r="F234" s="5" t="s">
        <v>237</v>
      </c>
    </row>
    <row r="235" spans="1:6" x14ac:dyDescent="0.25">
      <c r="A235" s="5">
        <v>49</v>
      </c>
      <c r="B235" s="5" t="s">
        <v>236</v>
      </c>
      <c r="C235" s="5">
        <v>0</v>
      </c>
      <c r="D235" s="5">
        <v>0</v>
      </c>
      <c r="E235" s="5" t="s">
        <v>214</v>
      </c>
      <c r="F235" s="5" t="s">
        <v>234</v>
      </c>
    </row>
    <row r="236" spans="1:6" x14ac:dyDescent="0.25">
      <c r="A236" s="5">
        <v>50</v>
      </c>
      <c r="B236" s="5" t="s">
        <v>235</v>
      </c>
      <c r="C236" s="5">
        <v>542.26</v>
      </c>
      <c r="D236" s="5">
        <v>542.26</v>
      </c>
      <c r="E236" s="5" t="s">
        <v>214</v>
      </c>
      <c r="F236" s="5" t="s">
        <v>237</v>
      </c>
    </row>
    <row r="237" spans="1:6" x14ac:dyDescent="0.25">
      <c r="A237" s="5">
        <v>50</v>
      </c>
      <c r="B237" s="5" t="s">
        <v>236</v>
      </c>
      <c r="C237" s="5">
        <v>0</v>
      </c>
      <c r="D237" s="5">
        <v>0</v>
      </c>
      <c r="E237" s="5" t="s">
        <v>214</v>
      </c>
      <c r="F237" s="5" t="s">
        <v>234</v>
      </c>
    </row>
    <row r="238" spans="1:6" x14ac:dyDescent="0.25">
      <c r="A238" s="5">
        <v>51</v>
      </c>
      <c r="B238" s="5" t="s">
        <v>235</v>
      </c>
      <c r="C238" s="5">
        <v>639.04999999999995</v>
      </c>
      <c r="D238" s="5">
        <v>639.04999999999995</v>
      </c>
      <c r="E238" s="5" t="s">
        <v>214</v>
      </c>
      <c r="F238" s="5" t="s">
        <v>237</v>
      </c>
    </row>
    <row r="239" spans="1:6" x14ac:dyDescent="0.25">
      <c r="A239" s="5">
        <v>51</v>
      </c>
      <c r="B239" s="5" t="s">
        <v>236</v>
      </c>
      <c r="C239" s="5">
        <v>0</v>
      </c>
      <c r="D239" s="5">
        <v>0</v>
      </c>
      <c r="E239" s="5" t="s">
        <v>214</v>
      </c>
      <c r="F239" s="5" t="s">
        <v>234</v>
      </c>
    </row>
    <row r="240" spans="1:6" x14ac:dyDescent="0.25">
      <c r="A240" s="5">
        <v>52</v>
      </c>
      <c r="B240" s="5" t="s">
        <v>235</v>
      </c>
      <c r="C240" s="5">
        <v>542.26</v>
      </c>
      <c r="D240" s="5">
        <v>542.26</v>
      </c>
      <c r="E240" s="5" t="s">
        <v>214</v>
      </c>
      <c r="F240" s="5" t="s">
        <v>237</v>
      </c>
    </row>
    <row r="241" spans="1:6" x14ac:dyDescent="0.25">
      <c r="A241" s="5">
        <v>52</v>
      </c>
      <c r="B241" s="5" t="s">
        <v>236</v>
      </c>
      <c r="C241" s="5">
        <v>0</v>
      </c>
      <c r="D241" s="5">
        <v>0</v>
      </c>
      <c r="E241" s="5" t="s">
        <v>214</v>
      </c>
      <c r="F241" s="5" t="s">
        <v>234</v>
      </c>
    </row>
    <row r="242" spans="1:6" x14ac:dyDescent="0.25">
      <c r="A242" s="5">
        <v>53</v>
      </c>
      <c r="B242" s="5" t="s">
        <v>235</v>
      </c>
      <c r="C242" s="5">
        <f>542.26+542.26</f>
        <v>1084.52</v>
      </c>
      <c r="D242" s="5">
        <f>542.26+542.26</f>
        <v>1084.52</v>
      </c>
      <c r="E242" s="5" t="s">
        <v>214</v>
      </c>
      <c r="F242" s="5" t="s">
        <v>237</v>
      </c>
    </row>
    <row r="243" spans="1:6" x14ac:dyDescent="0.25">
      <c r="A243" s="5">
        <v>53</v>
      </c>
      <c r="B243" s="5" t="s">
        <v>236</v>
      </c>
      <c r="C243" s="5">
        <v>0</v>
      </c>
      <c r="D243" s="5">
        <v>0</v>
      </c>
      <c r="E243" s="5" t="s">
        <v>214</v>
      </c>
      <c r="F243" s="5" t="s">
        <v>234</v>
      </c>
    </row>
    <row r="244" spans="1:6" x14ac:dyDescent="0.25">
      <c r="A244" s="5">
        <v>54</v>
      </c>
      <c r="B244" s="5" t="s">
        <v>235</v>
      </c>
      <c r="C244" s="5">
        <f>3663.1+3663.1</f>
        <v>7326.2</v>
      </c>
      <c r="D244" s="5">
        <f>3513.1+3513.1</f>
        <v>7026.2</v>
      </c>
      <c r="E244" s="5" t="s">
        <v>214</v>
      </c>
      <c r="F244" s="5" t="s">
        <v>234</v>
      </c>
    </row>
    <row r="245" spans="1:6" x14ac:dyDescent="0.25">
      <c r="A245" s="5">
        <v>54</v>
      </c>
      <c r="B245" s="5" t="s">
        <v>236</v>
      </c>
      <c r="C245" s="5">
        <v>0</v>
      </c>
      <c r="D245" s="5">
        <v>0</v>
      </c>
      <c r="E245" s="5" t="s">
        <v>214</v>
      </c>
      <c r="F245" s="5" t="s">
        <v>234</v>
      </c>
    </row>
    <row r="246" spans="1:6" x14ac:dyDescent="0.25">
      <c r="A246" s="5">
        <v>55</v>
      </c>
      <c r="B246" s="5" t="s">
        <v>235</v>
      </c>
      <c r="C246" s="5">
        <v>542.26</v>
      </c>
      <c r="D246" s="5">
        <v>542.26</v>
      </c>
      <c r="E246" s="5" t="s">
        <v>214</v>
      </c>
      <c r="F246" s="5" t="s">
        <v>234</v>
      </c>
    </row>
    <row r="247" spans="1:6" x14ac:dyDescent="0.25">
      <c r="A247" s="5">
        <v>55</v>
      </c>
      <c r="B247" s="5" t="s">
        <v>236</v>
      </c>
      <c r="C247" s="5">
        <v>0</v>
      </c>
      <c r="D247" s="5">
        <v>0</v>
      </c>
      <c r="E247" s="5" t="s">
        <v>214</v>
      </c>
      <c r="F247" s="5" t="s">
        <v>234</v>
      </c>
    </row>
    <row r="248" spans="1:6" x14ac:dyDescent="0.25">
      <c r="A248" s="5">
        <v>56</v>
      </c>
      <c r="B248" s="5" t="s">
        <v>235</v>
      </c>
      <c r="C248" s="5">
        <v>583.59</v>
      </c>
      <c r="D248" s="5">
        <v>583.59</v>
      </c>
      <c r="E248" s="5" t="s">
        <v>214</v>
      </c>
      <c r="F248" s="5" t="s">
        <v>237</v>
      </c>
    </row>
    <row r="249" spans="1:6" x14ac:dyDescent="0.25">
      <c r="A249" s="5">
        <v>56</v>
      </c>
      <c r="B249" s="5" t="s">
        <v>236</v>
      </c>
      <c r="C249" s="5">
        <v>0</v>
      </c>
      <c r="D249" s="5">
        <v>0</v>
      </c>
      <c r="E249" s="5" t="s">
        <v>214</v>
      </c>
      <c r="F249" s="5" t="s">
        <v>234</v>
      </c>
    </row>
    <row r="250" spans="1:6" x14ac:dyDescent="0.25">
      <c r="A250" s="5">
        <v>57</v>
      </c>
      <c r="B250" s="5" t="s">
        <v>235</v>
      </c>
      <c r="C250" s="5">
        <v>0</v>
      </c>
      <c r="D250" s="5">
        <v>0</v>
      </c>
      <c r="E250" s="5" t="s">
        <v>214</v>
      </c>
      <c r="F250" s="5" t="s">
        <v>237</v>
      </c>
    </row>
    <row r="251" spans="1:6" x14ac:dyDescent="0.25">
      <c r="A251" s="5">
        <v>57</v>
      </c>
      <c r="B251" s="5" t="s">
        <v>236</v>
      </c>
      <c r="C251" s="5">
        <v>0</v>
      </c>
      <c r="D251" s="5">
        <v>0</v>
      </c>
      <c r="E251" s="5" t="s">
        <v>214</v>
      </c>
      <c r="F251" s="5" t="s">
        <v>234</v>
      </c>
    </row>
    <row r="252" spans="1:6" s="13" customFormat="1" x14ac:dyDescent="0.25">
      <c r="A252" s="13">
        <v>58</v>
      </c>
      <c r="B252" s="13" t="s">
        <v>235</v>
      </c>
      <c r="C252" s="13">
        <v>0</v>
      </c>
      <c r="D252" s="13">
        <v>0</v>
      </c>
      <c r="E252" s="13" t="s">
        <v>214</v>
      </c>
      <c r="F252" s="13" t="s">
        <v>237</v>
      </c>
    </row>
    <row r="253" spans="1:6" s="13" customFormat="1" x14ac:dyDescent="0.25">
      <c r="A253" s="13">
        <v>58</v>
      </c>
      <c r="B253" s="13" t="s">
        <v>236</v>
      </c>
      <c r="C253" s="13">
        <v>8256.66</v>
      </c>
      <c r="D253" s="13">
        <v>8256.66</v>
      </c>
      <c r="E253" s="13" t="s">
        <v>214</v>
      </c>
      <c r="F253" s="13" t="s">
        <v>234</v>
      </c>
    </row>
    <row r="254" spans="1:6" s="13" customFormat="1" x14ac:dyDescent="0.25">
      <c r="A254" s="13">
        <v>59</v>
      </c>
      <c r="B254" s="13" t="s">
        <v>235</v>
      </c>
      <c r="C254" s="13">
        <v>0</v>
      </c>
      <c r="D254" s="13">
        <v>0</v>
      </c>
      <c r="E254" s="13" t="s">
        <v>214</v>
      </c>
      <c r="F254" s="13" t="s">
        <v>237</v>
      </c>
    </row>
    <row r="255" spans="1:6" s="13" customFormat="1" x14ac:dyDescent="0.25">
      <c r="A255" s="13">
        <v>59</v>
      </c>
      <c r="B255" s="13" t="s">
        <v>236</v>
      </c>
      <c r="C255" s="13">
        <v>0</v>
      </c>
      <c r="D255" s="13">
        <v>0</v>
      </c>
      <c r="E255" s="13" t="s">
        <v>214</v>
      </c>
      <c r="F255" s="13" t="s">
        <v>234</v>
      </c>
    </row>
    <row r="256" spans="1:6" s="13" customFormat="1" x14ac:dyDescent="0.25">
      <c r="A256" s="13">
        <v>60</v>
      </c>
      <c r="B256" s="13" t="s">
        <v>235</v>
      </c>
      <c r="C256" s="13">
        <v>0</v>
      </c>
      <c r="D256" s="13">
        <v>0</v>
      </c>
      <c r="E256" s="13" t="s">
        <v>214</v>
      </c>
      <c r="F256" s="13" t="s">
        <v>237</v>
      </c>
    </row>
    <row r="257" spans="1:6" s="13" customFormat="1" x14ac:dyDescent="0.25">
      <c r="A257" s="13">
        <v>60</v>
      </c>
      <c r="B257" s="13" t="s">
        <v>236</v>
      </c>
      <c r="C257" s="13">
        <v>0</v>
      </c>
      <c r="D257" s="13">
        <v>0</v>
      </c>
      <c r="E257" s="13" t="s">
        <v>214</v>
      </c>
      <c r="F257" s="13" t="s">
        <v>234</v>
      </c>
    </row>
    <row r="258" spans="1:6" s="13" customFormat="1" x14ac:dyDescent="0.25"/>
    <row r="259" spans="1:6" s="13" customFormat="1" x14ac:dyDescent="0.25">
      <c r="C259" s="13">
        <f>SUM(C4:C257)</f>
        <v>168107.11999999997</v>
      </c>
      <c r="D259" s="15">
        <f>SUM(D4:D257)</f>
        <v>166007.12999999998</v>
      </c>
    </row>
    <row r="260" spans="1:6" s="13" customFormat="1" x14ac:dyDescent="0.25"/>
    <row r="261" spans="1:6" s="13" customFormat="1" x14ac:dyDescent="0.25"/>
    <row r="262" spans="1:6" s="13" customFormat="1" x14ac:dyDescent="0.25"/>
  </sheetData>
  <pageMargins left="0.15748031496062992" right="0.15748031496062992" top="0.15748031496062992" bottom="0.15748031496062992" header="0.15748031496062992" footer="0.1574803149606299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 C5</cp:lastModifiedBy>
  <cp:lastPrinted>2020-02-06T22:03:38Z</cp:lastPrinted>
  <dcterms:created xsi:type="dcterms:W3CDTF">2018-03-23T16:49:45Z</dcterms:created>
  <dcterms:modified xsi:type="dcterms:W3CDTF">2020-02-07T17:05:02Z</dcterms:modified>
</cp:coreProperties>
</file>